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ifes\Previdencia\Calculadoras 2023\Novas Calculadoras novo SM\Publicas\"/>
    </mc:Choice>
  </mc:AlternateContent>
  <xr:revisionPtr revIDLastSave="0" documentId="13_ncr:1_{A0377292-3464-4858-BD72-D417799F978A}" xr6:coauthVersionLast="47" xr6:coauthVersionMax="47" xr10:uidLastSave="{00000000-0000-0000-0000-000000000000}"/>
  <bookViews>
    <workbookView xWindow="-120" yWindow="-120" windowWidth="17520" windowHeight="12600" xr2:uid="{00000000-000D-0000-FFFF-FFFF00000000}"/>
  </bookViews>
  <sheets>
    <sheet name="Ativos" sheetId="5" r:id="rId1"/>
    <sheet name="Aposentados" sheetId="7" r:id="rId2"/>
    <sheet name="Funpresp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5" i="5" l="1"/>
  <c r="AO15" i="5"/>
  <c r="AN15" i="5"/>
  <c r="H15" i="8" l="1"/>
  <c r="I17" i="7"/>
  <c r="I9" i="7"/>
  <c r="I6" i="7"/>
  <c r="F9" i="7"/>
  <c r="Z18" i="7"/>
  <c r="F12" i="5" l="1"/>
  <c r="AG18" i="5"/>
  <c r="AG15" i="5"/>
  <c r="P18" i="5"/>
  <c r="P15" i="5"/>
  <c r="Q32" i="5"/>
  <c r="O32" i="5"/>
  <c r="Q31" i="5" l="1"/>
  <c r="O31" i="5"/>
  <c r="P11" i="7"/>
  <c r="AG11" i="7"/>
  <c r="AJ11" i="7" s="1"/>
  <c r="Q30" i="5"/>
  <c r="O30" i="5"/>
  <c r="H14" i="8"/>
  <c r="H16" i="8" s="1"/>
  <c r="H6" i="8"/>
  <c r="H9" i="8" s="1"/>
  <c r="S29" i="5"/>
  <c r="AR16" i="7"/>
  <c r="V15" i="7"/>
  <c r="G16" i="7"/>
  <c r="G15" i="7"/>
  <c r="G14" i="7"/>
  <c r="G13" i="7"/>
  <c r="S11" i="7"/>
  <c r="R12" i="7" s="1"/>
  <c r="G12" i="7"/>
  <c r="I16" i="8" l="1"/>
  <c r="I15" i="8"/>
  <c r="I7" i="8"/>
  <c r="AE11" i="7"/>
  <c r="F12" i="7"/>
  <c r="AI12" i="7"/>
  <c r="E13" i="7" s="1"/>
  <c r="V11" i="7" l="1"/>
  <c r="W11" i="7" s="1"/>
  <c r="AA11" i="7" s="1"/>
  <c r="E15" i="5"/>
  <c r="AJ18" i="5"/>
  <c r="AJ15" i="5"/>
  <c r="S18" i="5"/>
  <c r="S15" i="5"/>
  <c r="V15" i="5" s="1"/>
  <c r="S30" i="5"/>
  <c r="S31" i="5"/>
  <c r="P16" i="5" s="1"/>
  <c r="P19" i="5" s="1"/>
  <c r="P12" i="7" s="1"/>
  <c r="S12" i="7" s="1"/>
  <c r="S32" i="5"/>
  <c r="AG16" i="5" s="1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28" i="5"/>
  <c r="Q29" i="5"/>
  <c r="O29" i="5"/>
  <c r="Q28" i="5"/>
  <c r="O28" i="5"/>
  <c r="G16" i="5"/>
  <c r="G17" i="5"/>
  <c r="G18" i="5"/>
  <c r="G19" i="5"/>
  <c r="G20" i="5"/>
  <c r="G21" i="5"/>
  <c r="G22" i="5"/>
  <c r="G15" i="5"/>
  <c r="AI16" i="5" l="1"/>
  <c r="E16" i="5" s="1"/>
  <c r="AM15" i="5"/>
  <c r="AV15" i="5" s="1"/>
  <c r="V12" i="7"/>
  <c r="R13" i="7"/>
  <c r="E12" i="7"/>
  <c r="AM11" i="7"/>
  <c r="S16" i="5"/>
  <c r="P20" i="5"/>
  <c r="P17" i="5"/>
  <c r="P21" i="5"/>
  <c r="AJ16" i="5"/>
  <c r="AG20" i="5"/>
  <c r="AG17" i="5"/>
  <c r="AJ17" i="5" s="1"/>
  <c r="AG21" i="5"/>
  <c r="AG19" i="5"/>
  <c r="AG12" i="7" s="1"/>
  <c r="AJ12" i="7" s="1"/>
  <c r="F18" i="5"/>
  <c r="F15" i="5"/>
  <c r="AI19" i="5"/>
  <c r="E19" i="5" s="1"/>
  <c r="AJ19" i="5"/>
  <c r="S19" i="5"/>
  <c r="S17" i="5"/>
  <c r="R18" i="5"/>
  <c r="R16" i="5"/>
  <c r="R17" i="5"/>
  <c r="R20" i="5"/>
  <c r="S21" i="5" l="1"/>
  <c r="R22" i="5" s="1"/>
  <c r="P14" i="7"/>
  <c r="S14" i="7" s="1"/>
  <c r="S20" i="5"/>
  <c r="R21" i="5" s="1"/>
  <c r="P13" i="7"/>
  <c r="S13" i="7" s="1"/>
  <c r="AI13" i="7"/>
  <c r="E14" i="7" s="1"/>
  <c r="AM12" i="7"/>
  <c r="F13" i="7"/>
  <c r="AJ21" i="5"/>
  <c r="AG14" i="7"/>
  <c r="AJ14" i="7" s="1"/>
  <c r="AJ20" i="5"/>
  <c r="AI21" i="5" s="1"/>
  <c r="E21" i="5" s="1"/>
  <c r="AG13" i="7"/>
  <c r="AJ13" i="7" s="1"/>
  <c r="W15" i="5"/>
  <c r="I8" i="5"/>
  <c r="L8" i="5"/>
  <c r="Y11" i="7"/>
  <c r="X11" i="7"/>
  <c r="Z11" i="7"/>
  <c r="AB11" i="7" s="1"/>
  <c r="AC11" i="7" s="1"/>
  <c r="W12" i="7"/>
  <c r="F17" i="5"/>
  <c r="AM19" i="5"/>
  <c r="F19" i="5"/>
  <c r="AM16" i="5"/>
  <c r="F16" i="5"/>
  <c r="AI17" i="5"/>
  <c r="E17" i="5" s="1"/>
  <c r="AM21" i="5"/>
  <c r="F20" i="5"/>
  <c r="AI18" i="5"/>
  <c r="AI20" i="5"/>
  <c r="E20" i="5" s="1"/>
  <c r="R19" i="5"/>
  <c r="V20" i="5"/>
  <c r="V19" i="5"/>
  <c r="V21" i="5"/>
  <c r="V16" i="5"/>
  <c r="W16" i="5" s="1"/>
  <c r="V17" i="5"/>
  <c r="V18" i="5"/>
  <c r="AV21" i="5" l="1"/>
  <c r="AV16" i="5"/>
  <c r="AV19" i="5"/>
  <c r="AA15" i="5"/>
  <c r="Z15" i="5"/>
  <c r="X15" i="5"/>
  <c r="AI22" i="5"/>
  <c r="E22" i="5" s="1"/>
  <c r="F21" i="5"/>
  <c r="AM18" i="5"/>
  <c r="AV18" i="5" s="1"/>
  <c r="R14" i="7"/>
  <c r="V13" i="7"/>
  <c r="V14" i="7"/>
  <c r="R15" i="7"/>
  <c r="F14" i="7"/>
  <c r="AI14" i="7"/>
  <c r="E15" i="7" s="1"/>
  <c r="AM13" i="7"/>
  <c r="AI15" i="7"/>
  <c r="E16" i="7" s="1"/>
  <c r="F15" i="7"/>
  <c r="AM14" i="7"/>
  <c r="Y15" i="5"/>
  <c r="Z12" i="7"/>
  <c r="X12" i="7"/>
  <c r="Y12" i="7"/>
  <c r="AA12" i="7"/>
  <c r="W13" i="7"/>
  <c r="AM20" i="5"/>
  <c r="AV20" i="5" s="1"/>
  <c r="E18" i="5"/>
  <c r="AM17" i="5"/>
  <c r="W17" i="5"/>
  <c r="AA17" i="5" s="1"/>
  <c r="AA16" i="5"/>
  <c r="Y16" i="5"/>
  <c r="Z16" i="5"/>
  <c r="X16" i="5"/>
  <c r="H13" i="8" l="1"/>
  <c r="H17" i="8" s="1"/>
  <c r="AV17" i="5"/>
  <c r="AB15" i="5"/>
  <c r="AC15" i="5" s="1"/>
  <c r="AD15" i="5" s="1"/>
  <c r="AE15" i="5" s="1"/>
  <c r="AB12" i="7"/>
  <c r="AA13" i="7"/>
  <c r="Y13" i="7"/>
  <c r="X13" i="7"/>
  <c r="Z13" i="7"/>
  <c r="W14" i="7"/>
  <c r="Z17" i="5"/>
  <c r="AB17" i="5" s="1"/>
  <c r="Y17" i="5"/>
  <c r="W18" i="5"/>
  <c r="X17" i="5"/>
  <c r="AB16" i="5"/>
  <c r="AC16" i="5" s="1"/>
  <c r="Z18" i="5" l="1"/>
  <c r="H5" i="8"/>
  <c r="AB13" i="7"/>
  <c r="Z15" i="7"/>
  <c r="AD15" i="7" s="1"/>
  <c r="AE15" i="7" s="1"/>
  <c r="Z14" i="7"/>
  <c r="X14" i="7"/>
  <c r="W15" i="7"/>
  <c r="Y14" i="7"/>
  <c r="AA14" i="7"/>
  <c r="AB14" i="7" s="1"/>
  <c r="AC12" i="7"/>
  <c r="AD11" i="7"/>
  <c r="X18" i="5"/>
  <c r="Y18" i="5"/>
  <c r="W19" i="5"/>
  <c r="AA19" i="5" s="1"/>
  <c r="AA18" i="5"/>
  <c r="AB18" i="5" s="1"/>
  <c r="AD16" i="5"/>
  <c r="AC17" i="5"/>
  <c r="Z19" i="5"/>
  <c r="H10" i="8" l="1"/>
  <c r="H19" i="8" s="1"/>
  <c r="H20" i="8" s="1"/>
  <c r="AC13" i="7"/>
  <c r="AD12" i="7"/>
  <c r="AE12" i="7" s="1"/>
  <c r="X15" i="7"/>
  <c r="Y15" i="7"/>
  <c r="W20" i="5"/>
  <c r="Y20" i="5" s="1"/>
  <c r="Y19" i="5"/>
  <c r="AB19" i="5"/>
  <c r="X19" i="5"/>
  <c r="AD17" i="5"/>
  <c r="AC18" i="5"/>
  <c r="AA20" i="5"/>
  <c r="AE16" i="5"/>
  <c r="AC14" i="7" l="1"/>
  <c r="AD14" i="7" s="1"/>
  <c r="AE14" i="7" s="1"/>
  <c r="AD13" i="7"/>
  <c r="AE13" i="7" s="1"/>
  <c r="W21" i="5"/>
  <c r="Z20" i="5"/>
  <c r="AB20" i="5" s="1"/>
  <c r="X20" i="5"/>
  <c r="X21" i="5"/>
  <c r="AE17" i="5"/>
  <c r="AD18" i="5"/>
  <c r="AC19" i="5"/>
  <c r="AA21" i="5" l="1"/>
  <c r="Z22" i="5"/>
  <c r="Z21" i="5"/>
  <c r="Y21" i="5"/>
  <c r="Z17" i="7"/>
  <c r="AB21" i="5"/>
  <c r="AE18" i="5"/>
  <c r="AD19" i="5"/>
  <c r="AC20" i="5"/>
  <c r="W22" i="5" l="1"/>
  <c r="Y22" i="5" s="1"/>
  <c r="AD22" i="5"/>
  <c r="AE22" i="5" s="1"/>
  <c r="Z19" i="7"/>
  <c r="Z20" i="7" s="1"/>
  <c r="X22" i="5"/>
  <c r="H6" i="7"/>
  <c r="H7" i="7"/>
  <c r="AE19" i="5"/>
  <c r="AD20" i="5"/>
  <c r="AC21" i="5"/>
  <c r="AD21" i="5" s="1"/>
  <c r="AP11" i="7" l="1"/>
  <c r="AO12" i="7"/>
  <c r="AO13" i="7"/>
  <c r="AO14" i="7"/>
  <c r="AO15" i="7"/>
  <c r="AO11" i="7"/>
  <c r="AN12" i="7"/>
  <c r="AN13" i="7"/>
  <c r="AN14" i="7"/>
  <c r="AN15" i="7"/>
  <c r="AN11" i="7"/>
  <c r="H9" i="7"/>
  <c r="AP12" i="7"/>
  <c r="AQ12" i="7" s="1"/>
  <c r="AP13" i="7"/>
  <c r="AQ13" i="7" s="1"/>
  <c r="AR13" i="7" s="1"/>
  <c r="AP14" i="7"/>
  <c r="AQ14" i="7" s="1"/>
  <c r="AP15" i="7"/>
  <c r="AQ15" i="7" s="1"/>
  <c r="AR15" i="7" s="1"/>
  <c r="AT15" i="7" s="1"/>
  <c r="AR14" i="7"/>
  <c r="AR11" i="7"/>
  <c r="AT11" i="7" s="1"/>
  <c r="AR12" i="7"/>
  <c r="H13" i="7" s="1"/>
  <c r="H16" i="7"/>
  <c r="AT13" i="7"/>
  <c r="H14" i="7"/>
  <c r="AT12" i="7"/>
  <c r="AE21" i="5"/>
  <c r="AE20" i="5"/>
  <c r="H12" i="7" l="1"/>
  <c r="AT14" i="7"/>
  <c r="AT17" i="7" s="1"/>
  <c r="H15" i="7"/>
  <c r="AR17" i="7"/>
  <c r="H17" i="7" s="1"/>
  <c r="H20" i="7" s="1"/>
  <c r="H21" i="7" s="1"/>
  <c r="Z24" i="5"/>
  <c r="H9" i="5" s="1"/>
  <c r="Z26" i="5" l="1"/>
  <c r="Z27" i="5" s="1"/>
  <c r="H12" i="5" s="1"/>
  <c r="H18" i="7"/>
  <c r="AO16" i="5" l="1"/>
  <c r="AO17" i="5"/>
  <c r="AO18" i="5"/>
  <c r="AO19" i="5"/>
  <c r="AO20" i="5"/>
  <c r="AO21" i="5"/>
  <c r="AO22" i="5"/>
  <c r="AN16" i="5"/>
  <c r="AN17" i="5"/>
  <c r="AN18" i="5"/>
  <c r="AN19" i="5"/>
  <c r="AN20" i="5"/>
  <c r="AN21" i="5"/>
  <c r="AN22" i="5"/>
  <c r="H10" i="5"/>
  <c r="I11" i="5"/>
  <c r="I12" i="5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L11" i="5"/>
  <c r="I10" i="5"/>
  <c r="I9" i="5"/>
  <c r="I13" i="5"/>
  <c r="L12" i="5"/>
  <c r="L10" i="5"/>
  <c r="AQ15" i="5"/>
  <c r="AR15" i="5" s="1"/>
  <c r="AT15" i="5" s="1"/>
  <c r="AR17" i="5"/>
  <c r="H17" i="5" s="1"/>
  <c r="H15" i="5"/>
  <c r="AR16" i="5"/>
  <c r="H16" i="5" s="1"/>
  <c r="AR21" i="5"/>
  <c r="H21" i="5" s="1"/>
  <c r="AR18" i="5"/>
  <c r="AT18" i="5" s="1"/>
  <c r="AT21" i="5"/>
  <c r="AT17" i="5"/>
  <c r="AR19" i="5"/>
  <c r="AR20" i="5"/>
  <c r="AR22" i="5"/>
  <c r="AT16" i="5" l="1"/>
  <c r="H18" i="5"/>
  <c r="AT22" i="5"/>
  <c r="H22" i="5"/>
  <c r="AT19" i="5"/>
  <c r="H19" i="5"/>
  <c r="AT20" i="5"/>
  <c r="H20" i="5"/>
  <c r="AR24" i="5"/>
  <c r="H23" i="5" l="1"/>
  <c r="AT25" i="5"/>
  <c r="I20" i="7"/>
  <c r="AT24" i="5"/>
  <c r="H26" i="5" l="1"/>
  <c r="H27" i="5" s="1"/>
  <c r="H24" i="5"/>
</calcChain>
</file>

<file path=xl/sharedStrings.xml><?xml version="1.0" encoding="utf-8"?>
<sst xmlns="http://schemas.openxmlformats.org/spreadsheetml/2006/main" count="111" uniqueCount="70">
  <si>
    <t>Reajuste</t>
  </si>
  <si>
    <t>Salário Mínimo</t>
  </si>
  <si>
    <t>A pagar</t>
  </si>
  <si>
    <t>Ativos</t>
  </si>
  <si>
    <t>Novas faixas de alíquotas:</t>
  </si>
  <si>
    <t>Teto</t>
  </si>
  <si>
    <t>Valor</t>
  </si>
  <si>
    <t>Teto RGPS</t>
  </si>
  <si>
    <t>Ano</t>
  </si>
  <si>
    <t>SM</t>
  </si>
  <si>
    <t>Ind. Gerador</t>
  </si>
  <si>
    <t>Multiplicador</t>
  </si>
  <si>
    <t>Regra</t>
  </si>
  <si>
    <t>Transportar</t>
  </si>
  <si>
    <t>IG*Mult</t>
  </si>
  <si>
    <t>Trasportar</t>
  </si>
  <si>
    <t>1,5*</t>
  </si>
  <si>
    <t>5*</t>
  </si>
  <si>
    <t>10*</t>
  </si>
  <si>
    <t>19,5*</t>
  </si>
  <si>
    <t>Início</t>
  </si>
  <si>
    <t>Fim</t>
  </si>
  <si>
    <t>Alíq.</t>
  </si>
  <si>
    <t>Cont. Faixa</t>
  </si>
  <si>
    <t>Soma Contirib.</t>
  </si>
  <si>
    <t>Mínimo</t>
  </si>
  <si>
    <t>Máximo</t>
  </si>
  <si>
    <t>acima deste valor</t>
  </si>
  <si>
    <t>Ano Regerência</t>
  </si>
  <si>
    <t>Variação</t>
  </si>
  <si>
    <t>BC=</t>
  </si>
  <si>
    <t>Var./Faixa</t>
  </si>
  <si>
    <t>Base Cálculo=</t>
  </si>
  <si>
    <t>Variação=</t>
  </si>
  <si>
    <t>Participantes da Funpresp-Exe</t>
  </si>
  <si>
    <t>Contrubuição ao RPPS=</t>
  </si>
  <si>
    <t>Base de Contribuição</t>
  </si>
  <si>
    <t>Remineração Total=</t>
  </si>
  <si>
    <t>Alíqyota Funprespp=</t>
  </si>
  <si>
    <t>Contibuição à Funpresp=</t>
  </si>
  <si>
    <t>Aposentados e Pensionistas</t>
  </si>
  <si>
    <t>=</t>
  </si>
  <si>
    <t>Nova Alíquota efetiva em 2023=</t>
  </si>
  <si>
    <t>Nova CPSS em 2023=</t>
  </si>
  <si>
    <t>Total de Contrib. Previdenciária em 2023=</t>
  </si>
  <si>
    <t>XPSS abril/2023=</t>
  </si>
  <si>
    <t>Contribuição previdenciária maio/ 2023</t>
  </si>
  <si>
    <t>Trajosye=</t>
  </si>
  <si>
    <t>Aumento=</t>
  </si>
  <si>
    <t>Reajuste=</t>
  </si>
  <si>
    <t>BC mai/2023=</t>
  </si>
  <si>
    <t>Base de Cálculo abril/2023=</t>
  </si>
  <si>
    <t>Alíquota efetiva abr/ 2023=</t>
  </si>
  <si>
    <t>Contribuição previdenciária abril 2023</t>
  </si>
  <si>
    <t xml:space="preserve"> CPSS abr/20223</t>
  </si>
  <si>
    <t>Nova BC mai/23=</t>
  </si>
  <si>
    <t>Nova CPSS mai/2023=</t>
  </si>
  <si>
    <t>Nova Alíquota efetiva mai/2023=</t>
  </si>
  <si>
    <t>Nova BC mai/2023=</t>
  </si>
  <si>
    <t>Contribuição Previdenciária maio/2023</t>
  </si>
  <si>
    <t>Total de Contrib. Previdenciária abr/2023=</t>
  </si>
  <si>
    <t>Contribuição Previdenciária abril/2023</t>
  </si>
  <si>
    <t>Remuneração reajustada=</t>
  </si>
  <si>
    <t>Alíquota efetiva abr/2023=</t>
  </si>
  <si>
    <t>Contribuição previdenciária abril/ 2023</t>
  </si>
  <si>
    <t>alíquota</t>
  </si>
  <si>
    <t>Limite</t>
  </si>
  <si>
    <t>Sobra</t>
  </si>
  <si>
    <t>Teste Faixas</t>
  </si>
  <si>
    <t>Nova BC=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</si>
</sst>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0.0%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sz val="11"/>
      <color rgb="FFFFFFFF"/>
      <name val="Arial"/>
      <family val="2"/>
    </font>
    <font>
      <sz val="9"/>
      <color rgb="FFFFFFFF"/>
      <name val="Arial"/>
      <family val="2"/>
    </font>
    <font>
      <sz val="12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/>
    <xf numFmtId="4" fontId="5" fillId="2" borderId="0" xfId="0" applyNumberFormat="1" applyFont="1" applyFill="1"/>
    <xf numFmtId="164" fontId="3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3" fillId="5" borderId="0" xfId="0" applyNumberFormat="1" applyFont="1" applyFill="1" applyProtection="1"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0" fontId="9" fillId="4" borderId="6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0" fillId="0" borderId="14" xfId="0" applyBorder="1" applyAlignment="1">
      <alignment horizontal="right"/>
    </xf>
    <xf numFmtId="164" fontId="7" fillId="8" borderId="1" xfId="0" applyNumberFormat="1" applyFont="1" applyFill="1" applyBorder="1" applyAlignment="1" applyProtection="1">
      <alignment horizontal="center"/>
      <protection locked="0"/>
    </xf>
    <xf numFmtId="165" fontId="7" fillId="8" borderId="1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/>
    <xf numFmtId="164" fontId="2" fillId="5" borderId="2" xfId="0" applyNumberFormat="1" applyFont="1" applyFill="1" applyBorder="1" applyProtection="1">
      <protection locked="0"/>
    </xf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/>
    <xf numFmtId="164" fontId="16" fillId="0" borderId="0" xfId="0" applyNumberFormat="1" applyFont="1"/>
    <xf numFmtId="164" fontId="21" fillId="0" borderId="0" xfId="0" applyNumberFormat="1" applyFont="1"/>
    <xf numFmtId="0" fontId="16" fillId="0" borderId="0" xfId="0" applyFont="1" applyAlignment="1">
      <alignment horizontal="center"/>
    </xf>
    <xf numFmtId="17" fontId="18" fillId="0" borderId="0" xfId="0" applyNumberFormat="1" applyFont="1"/>
    <xf numFmtId="165" fontId="16" fillId="0" borderId="0" xfId="0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0" fontId="16" fillId="0" borderId="0" xfId="0" applyNumberFormat="1" applyFont="1"/>
    <xf numFmtId="0" fontId="18" fillId="0" borderId="0" xfId="0" applyFont="1" applyAlignment="1">
      <alignment horizontal="center"/>
    </xf>
    <xf numFmtId="164" fontId="22" fillId="0" borderId="0" xfId="0" applyNumberFormat="1" applyFont="1"/>
    <xf numFmtId="164" fontId="2" fillId="0" borderId="0" xfId="0" applyNumberFormat="1" applyFont="1" applyAlignment="1">
      <alignment horizontal="center"/>
    </xf>
    <xf numFmtId="10" fontId="10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0" fontId="10" fillId="0" borderId="0" xfId="0" applyNumberFormat="1" applyFont="1" applyAlignment="1">
      <alignment horizontal="center"/>
    </xf>
    <xf numFmtId="0" fontId="19" fillId="2" borderId="0" xfId="0" applyFont="1" applyFill="1" applyAlignment="1">
      <alignment horizontal="left"/>
    </xf>
    <xf numFmtId="9" fontId="20" fillId="0" borderId="0" xfId="0" applyNumberFormat="1" applyFont="1" applyAlignment="1">
      <alignment horizontal="left"/>
    </xf>
    <xf numFmtId="0" fontId="2" fillId="0" borderId="23" xfId="0" applyFont="1" applyBorder="1"/>
    <xf numFmtId="0" fontId="8" fillId="2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164" fontId="14" fillId="2" borderId="0" xfId="0" applyNumberFormat="1" applyFont="1" applyFill="1"/>
    <xf numFmtId="0" fontId="7" fillId="8" borderId="2" xfId="0" applyFont="1" applyFill="1" applyBorder="1" applyAlignment="1">
      <alignment horizontal="right"/>
    </xf>
    <xf numFmtId="164" fontId="12" fillId="8" borderId="2" xfId="0" applyNumberFormat="1" applyFont="1" applyFill="1" applyBorder="1"/>
    <xf numFmtId="0" fontId="11" fillId="2" borderId="0" xfId="0" applyFont="1" applyFill="1" applyAlignment="1">
      <alignment horizontal="center"/>
    </xf>
    <xf numFmtId="10" fontId="12" fillId="8" borderId="2" xfId="0" applyNumberFormat="1" applyFont="1" applyFill="1" applyBorder="1"/>
    <xf numFmtId="10" fontId="4" fillId="2" borderId="0" xfId="0" applyNumberFormat="1" applyFont="1" applyFill="1"/>
    <xf numFmtId="164" fontId="4" fillId="2" borderId="0" xfId="0" applyNumberFormat="1" applyFont="1" applyFill="1"/>
    <xf numFmtId="164" fontId="7" fillId="0" borderId="3" xfId="0" applyNumberFormat="1" applyFont="1" applyBorder="1" applyAlignment="1">
      <alignment horizontal="center"/>
    </xf>
    <xf numFmtId="4" fontId="19" fillId="2" borderId="0" xfId="0" applyNumberFormat="1" applyFont="1" applyFill="1" applyAlignment="1">
      <alignment horizontal="right"/>
    </xf>
    <xf numFmtId="9" fontId="20" fillId="0" borderId="0" xfId="1" applyNumberFormat="1" applyFont="1" applyAlignment="1" applyProtection="1">
      <alignment horizontal="left"/>
    </xf>
    <xf numFmtId="164" fontId="5" fillId="2" borderId="24" xfId="0" applyNumberFormat="1" applyFont="1" applyFill="1" applyBorder="1"/>
    <xf numFmtId="10" fontId="9" fillId="4" borderId="3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18" fillId="0" borderId="0" xfId="0" applyFont="1"/>
    <xf numFmtId="164" fontId="23" fillId="0" borderId="0" xfId="0" applyNumberFormat="1" applyFont="1"/>
    <xf numFmtId="0" fontId="16" fillId="0" borderId="0" xfId="0" applyFont="1" applyAlignment="1">
      <alignment horizontal="right"/>
    </xf>
    <xf numFmtId="0" fontId="8" fillId="2" borderId="9" xfId="0" applyFont="1" applyFill="1" applyBorder="1" applyAlignment="1">
      <alignment horizontal="right"/>
    </xf>
    <xf numFmtId="164" fontId="3" fillId="7" borderId="2" xfId="0" applyNumberFormat="1" applyFont="1" applyFill="1" applyBorder="1"/>
    <xf numFmtId="164" fontId="13" fillId="0" borderId="0" xfId="0" applyNumberFormat="1" applyFont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164" fontId="15" fillId="0" borderId="0" xfId="0" applyNumberFormat="1" applyFont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0" fontId="7" fillId="0" borderId="21" xfId="0" applyNumberFormat="1" applyFont="1" applyBorder="1" applyAlignment="1">
      <alignment horizontal="center"/>
    </xf>
    <xf numFmtId="164" fontId="7" fillId="7" borderId="0" xfId="0" applyNumberFormat="1" applyFont="1" applyFill="1"/>
    <xf numFmtId="0" fontId="8" fillId="2" borderId="3" xfId="0" applyFont="1" applyFill="1" applyBorder="1" applyAlignment="1">
      <alignment horizontal="right"/>
    </xf>
    <xf numFmtId="164" fontId="7" fillId="9" borderId="1" xfId="0" applyNumberFormat="1" applyFont="1" applyFill="1" applyBorder="1" applyAlignment="1">
      <alignment horizontal="center"/>
    </xf>
    <xf numFmtId="164" fontId="3" fillId="6" borderId="0" xfId="0" applyNumberFormat="1" applyFont="1" applyFill="1"/>
    <xf numFmtId="0" fontId="3" fillId="2" borderId="13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0" xfId="0" applyFont="1" applyFill="1"/>
    <xf numFmtId="4" fontId="5" fillId="2" borderId="0" xfId="0" applyNumberFormat="1" applyFont="1" applyFill="1"/>
    <xf numFmtId="0" fontId="16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3" fillId="0" borderId="6" xfId="0" applyFont="1" applyBorder="1"/>
    <xf numFmtId="0" fontId="8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164" fontId="15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/>
    <xf numFmtId="0" fontId="9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164" fontId="16" fillId="0" borderId="0" xfId="0" applyNumberFormat="1" applyFont="1" applyFill="1"/>
    <xf numFmtId="0" fontId="16" fillId="0" borderId="0" xfId="0" applyFont="1" applyFill="1"/>
    <xf numFmtId="164" fontId="23" fillId="0" borderId="0" xfId="0" applyNumberFormat="1" applyFont="1" applyFill="1"/>
    <xf numFmtId="164" fontId="21" fillId="0" borderId="0" xfId="0" applyNumberFormat="1" applyFont="1" applyFill="1"/>
    <xf numFmtId="0" fontId="16" fillId="0" borderId="0" xfId="0" applyFont="1" applyFill="1" applyAlignment="1">
      <alignment horizontal="center"/>
    </xf>
    <xf numFmtId="17" fontId="18" fillId="0" borderId="0" xfId="0" applyNumberFormat="1" applyFont="1" applyFill="1"/>
    <xf numFmtId="165" fontId="16" fillId="0" borderId="0" xfId="0" applyNumberFormat="1" applyFont="1" applyFill="1"/>
    <xf numFmtId="0" fontId="18" fillId="0" borderId="0" xfId="0" applyFont="1" applyFill="1" applyAlignment="1">
      <alignment horizontal="right"/>
    </xf>
    <xf numFmtId="164" fontId="18" fillId="0" borderId="0" xfId="0" applyNumberFormat="1" applyFont="1" applyFill="1"/>
    <xf numFmtId="0" fontId="16" fillId="0" borderId="0" xfId="0" applyFont="1" applyFill="1" applyAlignment="1">
      <alignment horizontal="center"/>
    </xf>
    <xf numFmtId="10" fontId="16" fillId="0" borderId="0" xfId="0" applyNumberFormat="1" applyFont="1" applyFill="1"/>
    <xf numFmtId="0" fontId="18" fillId="0" borderId="0" xfId="0" applyFont="1" applyFill="1" applyAlignment="1">
      <alignment horizontal="center"/>
    </xf>
    <xf numFmtId="17" fontId="16" fillId="0" borderId="0" xfId="0" applyNumberFormat="1" applyFont="1" applyFill="1"/>
    <xf numFmtId="2" fontId="16" fillId="0" borderId="0" xfId="0" applyNumberFormat="1" applyFont="1" applyFill="1"/>
    <xf numFmtId="164" fontId="22" fillId="0" borderId="0" xfId="0" applyNumberFormat="1" applyFont="1" applyFill="1"/>
  </cellXfs>
  <cellStyles count="2">
    <cellStyle name="Normal" xfId="0" builtinId="0"/>
    <cellStyle name="Vírgula" xfId="1" builtinId="3"/>
  </cellStyles>
  <dxfs count="33">
    <dxf>
      <font>
        <color rgb="FFFFFFFF"/>
      </font>
    </dxf>
    <dxf>
      <font>
        <color rgb="FFFFFFFF"/>
      </font>
    </dxf>
    <dxf>
      <fill>
        <patternFill>
          <bgColor indexed="57"/>
        </patternFill>
      </fill>
    </dxf>
    <dxf>
      <font>
        <condense val="0"/>
        <extend val="0"/>
        <color indexed="9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50"/>
        </patternFill>
      </fill>
    </dxf>
    <dxf>
      <font>
        <color rgb="FFFFFFFF"/>
      </font>
    </dxf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FFFF"/>
      </font>
    </dxf>
    <dxf>
      <fill>
        <patternFill>
          <bgColor rgb="FFFF0000"/>
        </patternFill>
      </fill>
    </dxf>
    <dxf>
      <font>
        <color rgb="FFFFFFFF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57"/>
        </patternFill>
      </fill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FFC000"/>
        </patternFill>
      </fill>
    </dxf>
    <dxf>
      <fill>
        <patternFill>
          <bgColor indexed="57"/>
        </patternFill>
      </fill>
    </dxf>
    <dxf>
      <font>
        <condense val="0"/>
        <extend val="0"/>
        <color indexed="9"/>
      </font>
    </dxf>
    <dxf>
      <fill>
        <patternFill>
          <bgColor rgb="FFFFC000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FFFF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100361</xdr:colOff>
      <xdr:row>3</xdr:row>
      <xdr:rowOff>106383</xdr:rowOff>
    </xdr:from>
    <xdr:to>
      <xdr:col>4</xdr:col>
      <xdr:colOff>550529</xdr:colOff>
      <xdr:row>7</xdr:row>
      <xdr:rowOff>149205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3C09C4C9-EC10-4BDA-A01E-A60EE5DE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111" y="106383"/>
          <a:ext cx="1355043" cy="820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841375</xdr:colOff>
      <xdr:row>3</xdr:row>
      <xdr:rowOff>100365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1F51D8-8323-4C41-A46F-5884E79E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389" y="169333"/>
          <a:ext cx="841375" cy="509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131554</xdr:rowOff>
    </xdr:from>
    <xdr:to>
      <xdr:col>4</xdr:col>
      <xdr:colOff>365125</xdr:colOff>
      <xdr:row>5</xdr:row>
      <xdr:rowOff>39646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C92318-A6A9-4C8A-B9A0-EC0CFC58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9575" y="306179"/>
          <a:ext cx="1201738" cy="7177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X284"/>
  <sheetViews>
    <sheetView tabSelected="1" topLeftCell="C4" zoomScale="110" zoomScaleNormal="110" workbookViewId="0">
      <selection activeCell="H8" sqref="H8"/>
    </sheetView>
  </sheetViews>
  <sheetFormatPr defaultRowHeight="12.75" x14ac:dyDescent="0.2"/>
  <cols>
    <col min="1" max="1" width="11.85546875" bestFit="1" customWidth="1"/>
    <col min="2" max="2" width="13.28515625" bestFit="1" customWidth="1"/>
    <col min="3" max="3" width="4.42578125" bestFit="1" customWidth="1"/>
    <col min="5" max="5" width="19.85546875" bestFit="1" customWidth="1"/>
    <col min="6" max="6" width="14.85546875" customWidth="1"/>
    <col min="7" max="7" width="13" customWidth="1"/>
    <col min="8" max="8" width="15.28515625" bestFit="1" customWidth="1"/>
    <col min="9" max="9" width="13.85546875" customWidth="1"/>
    <col min="10" max="10" width="10.7109375" customWidth="1"/>
    <col min="11" max="11" width="15.5703125" style="15" customWidth="1"/>
    <col min="12" max="12" width="11.28515625" style="15" bestFit="1" customWidth="1"/>
    <col min="13" max="13" width="11.42578125" bestFit="1" customWidth="1"/>
    <col min="14" max="14" width="10.7109375" bestFit="1" customWidth="1"/>
    <col min="15" max="15" width="9.28515625" bestFit="1" customWidth="1"/>
    <col min="16" max="16" width="14.85546875" bestFit="1" customWidth="1"/>
    <col min="17" max="17" width="9.28515625" bestFit="1" customWidth="1"/>
    <col min="18" max="18" width="12.5703125" bestFit="1" customWidth="1"/>
    <col min="19" max="19" width="16" bestFit="1" customWidth="1"/>
    <col min="20" max="20" width="6.5703125" bestFit="1" customWidth="1"/>
    <col min="21" max="21" width="10.7109375" bestFit="1" customWidth="1"/>
    <col min="22" max="22" width="11.42578125" bestFit="1" customWidth="1"/>
    <col min="23" max="23" width="13.5703125" bestFit="1" customWidth="1"/>
    <col min="24" max="26" width="12.42578125" bestFit="1" customWidth="1"/>
    <col min="27" max="27" width="12" bestFit="1" customWidth="1"/>
    <col min="28" max="30" width="11.42578125" bestFit="1" customWidth="1"/>
    <col min="31" max="31" width="12.42578125" bestFit="1" customWidth="1"/>
    <col min="33" max="33" width="12.42578125" bestFit="1" customWidth="1"/>
    <col min="35" max="35" width="12.42578125" bestFit="1" customWidth="1"/>
    <col min="36" max="36" width="15.85546875" bestFit="1" customWidth="1"/>
    <col min="37" max="37" width="9.28515625" bestFit="1" customWidth="1"/>
    <col min="39" max="39" width="11.42578125" bestFit="1" customWidth="1"/>
    <col min="40" max="40" width="13.5703125" bestFit="1" customWidth="1"/>
    <col min="41" max="41" width="12.42578125" bestFit="1" customWidth="1"/>
    <col min="42" max="42" width="16.28515625" bestFit="1" customWidth="1"/>
    <col min="43" max="44" width="12.42578125" bestFit="1" customWidth="1"/>
    <col min="45" max="45" width="12.28515625" bestFit="1" customWidth="1"/>
    <col min="46" max="46" width="12.42578125" bestFit="1" customWidth="1"/>
    <col min="47" max="47" width="11.28515625" bestFit="1" customWidth="1"/>
    <col min="48" max="48" width="12.28515625" bestFit="1" customWidth="1"/>
    <col min="49" max="49" width="13" bestFit="1" customWidth="1"/>
  </cols>
  <sheetData>
    <row r="4" spans="1:154" ht="13.5" thickBot="1" x14ac:dyDescent="0.25">
      <c r="A4" s="2"/>
      <c r="B4" s="2"/>
      <c r="C4" s="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154" ht="16.5" thickBot="1" x14ac:dyDescent="0.3">
      <c r="A5" s="2"/>
      <c r="B5" s="2"/>
      <c r="C5" s="2"/>
      <c r="D5" s="4"/>
      <c r="E5" s="96"/>
      <c r="F5" s="89" t="s">
        <v>3</v>
      </c>
      <c r="G5" s="90"/>
      <c r="H5" s="91"/>
      <c r="I5" s="1"/>
      <c r="J5" s="1"/>
      <c r="K5" s="14"/>
      <c r="L5" s="14"/>
      <c r="M5" s="1"/>
      <c r="N5" s="1"/>
      <c r="O5" s="1"/>
      <c r="P5" s="1"/>
      <c r="Q5" s="1"/>
      <c r="R5" s="1"/>
      <c r="S5" s="1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</row>
    <row r="6" spans="1:154" ht="15.75" thickBot="1" x14ac:dyDescent="0.25">
      <c r="A6" s="2"/>
      <c r="B6" s="2"/>
      <c r="C6" s="2"/>
      <c r="D6" s="4"/>
      <c r="E6" s="96"/>
      <c r="F6" s="5"/>
      <c r="G6" s="5"/>
      <c r="H6" s="5"/>
      <c r="I6" s="1"/>
      <c r="J6" s="1"/>
      <c r="K6" s="14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</row>
    <row r="7" spans="1:154" ht="15.75" thickBot="1" x14ac:dyDescent="0.25">
      <c r="A7" s="2"/>
      <c r="B7" s="2"/>
      <c r="C7" s="2"/>
      <c r="D7" s="4"/>
      <c r="E7" s="6"/>
      <c r="F7" s="92" t="s">
        <v>64</v>
      </c>
      <c r="G7" s="93"/>
      <c r="H7" s="94"/>
      <c r="I7" s="1"/>
      <c r="J7" s="1"/>
      <c r="K7" s="14"/>
      <c r="L7" s="14"/>
      <c r="M7" s="29"/>
      <c r="N7" s="29"/>
      <c r="O7" s="2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95"/>
      <c r="AE7" s="95"/>
      <c r="AF7" s="1"/>
      <c r="AG7" s="1"/>
      <c r="AH7" s="1"/>
      <c r="AI7" s="1"/>
      <c r="AJ7" s="1"/>
      <c r="AK7" s="1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</row>
    <row r="8" spans="1:154" ht="15.75" thickBot="1" x14ac:dyDescent="0.25">
      <c r="A8" s="2"/>
      <c r="B8" s="2"/>
      <c r="C8" s="2"/>
      <c r="D8" s="4"/>
      <c r="E8" s="6"/>
      <c r="F8" s="98" t="s">
        <v>45</v>
      </c>
      <c r="G8" s="99"/>
      <c r="H8" s="28">
        <v>1639.29</v>
      </c>
      <c r="I8" s="106" t="b">
        <f>IF(H8&lt;V15,"Erro: Valor menor que o mínimo=")</f>
        <v>0</v>
      </c>
      <c r="J8" s="106"/>
      <c r="K8" s="106"/>
      <c r="L8" s="44" t="b">
        <f>IF(H8&lt;V15,V15)</f>
        <v>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31"/>
      <c r="AF8" s="29"/>
      <c r="AG8" s="29"/>
      <c r="AH8" s="29"/>
      <c r="AI8" s="29"/>
      <c r="AJ8" s="29"/>
      <c r="AK8" s="29"/>
      <c r="AL8" s="29"/>
      <c r="AM8" s="30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</row>
    <row r="9" spans="1:154" ht="15.75" thickBot="1" x14ac:dyDescent="0.25">
      <c r="A9" s="2"/>
      <c r="B9" s="2"/>
      <c r="C9" s="2"/>
      <c r="D9" s="4"/>
      <c r="E9" s="6"/>
      <c r="F9" s="98" t="s">
        <v>51</v>
      </c>
      <c r="G9" s="100"/>
      <c r="H9" s="19">
        <f>MAX(Z24,P15)</f>
        <v>12762.99739833788</v>
      </c>
      <c r="I9" s="135" t="b">
        <f>IF(INT(H9)=INT(P18),"Atenção: Tem limite do Teto do RGPS?")</f>
        <v>0</v>
      </c>
      <c r="J9" s="104"/>
      <c r="K9" s="104"/>
      <c r="L9" s="136"/>
      <c r="M9" s="29"/>
      <c r="N9" s="29"/>
      <c r="O9" s="29"/>
      <c r="P9" s="29"/>
      <c r="Q9" s="29"/>
      <c r="R9" s="29"/>
      <c r="S9" s="29"/>
      <c r="T9" s="29"/>
      <c r="U9" s="29"/>
      <c r="V9" s="33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54" ht="15.75" thickBot="1" x14ac:dyDescent="0.25">
      <c r="A10" s="2"/>
      <c r="B10" s="2"/>
      <c r="C10" s="2"/>
      <c r="D10" s="4"/>
      <c r="E10" s="6"/>
      <c r="F10" s="101" t="s">
        <v>52</v>
      </c>
      <c r="G10" s="102"/>
      <c r="H10" s="45">
        <f>IF(H8&lt;V15,V15/P15,H8/H9)</f>
        <v>0.12844083163516776</v>
      </c>
      <c r="I10" s="108" t="b">
        <f>IF(INT(H9)=INT(P18),"Nova Base de Contribuição em 2023=")</f>
        <v>0</v>
      </c>
      <c r="J10" s="108"/>
      <c r="K10" s="108"/>
      <c r="L10" s="44" t="b">
        <f>IF(INT(H9)=INT(P18),AG18)</f>
        <v>0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</row>
    <row r="11" spans="1:154" ht="15.75" thickBot="1" x14ac:dyDescent="0.25">
      <c r="A11" s="2"/>
      <c r="B11" s="2"/>
      <c r="C11" s="2"/>
      <c r="D11" s="4"/>
      <c r="E11" s="6"/>
      <c r="F11" s="46"/>
      <c r="G11" s="21"/>
      <c r="H11" s="47"/>
      <c r="I11" s="108" t="b">
        <f>IF(INT(H9)=INT(P18),"Nova CPSS maio/ 2023=")</f>
        <v>0</v>
      </c>
      <c r="J11" s="108"/>
      <c r="K11" s="108"/>
      <c r="L11" s="44" t="b">
        <f>IF(INT(H9)=INT(P18),AM15+AM16+AM17+AM18)</f>
        <v>0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0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</row>
    <row r="12" spans="1:154" ht="16.5" thickBot="1" x14ac:dyDescent="0.3">
      <c r="A12" s="2"/>
      <c r="B12" s="2"/>
      <c r="C12" s="2"/>
      <c r="D12" s="8"/>
      <c r="E12" s="48" t="s">
        <v>49</v>
      </c>
      <c r="F12" s="49">
        <f>Z25</f>
        <v>0.09</v>
      </c>
      <c r="G12" s="50" t="s">
        <v>50</v>
      </c>
      <c r="H12" s="65">
        <f>MAX(Z27,(P15+(P15*Z25)))</f>
        <v>13911.667164188289</v>
      </c>
      <c r="I12" s="108" t="b">
        <f>IF(INT(H9)=INT(P18),"Aumento da CPSS mai/20223=")</f>
        <v>0</v>
      </c>
      <c r="J12" s="108"/>
      <c r="K12" s="108"/>
      <c r="L12" s="44" t="b">
        <f>IF(INT(H9)=INT(P18),AM15+AM16+AM17+AM18-W18)</f>
        <v>0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0"/>
      <c r="AT12" s="143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</row>
    <row r="13" spans="1:154" ht="14.25" x14ac:dyDescent="0.2">
      <c r="A13" s="2"/>
      <c r="B13" s="2"/>
      <c r="C13" s="2"/>
      <c r="D13" s="8"/>
      <c r="F13" s="103" t="s">
        <v>46</v>
      </c>
      <c r="G13" s="104"/>
      <c r="H13" s="105"/>
      <c r="I13" s="137" t="b">
        <f>IF(INT(H9)=INT(P18),"4ª e 5ª Gerações – ver aba Funpresp")</f>
        <v>0</v>
      </c>
      <c r="J13" s="104"/>
      <c r="K13" s="104"/>
      <c r="L13" s="104"/>
      <c r="M13" s="141"/>
      <c r="N13" s="141"/>
      <c r="O13" s="141"/>
      <c r="P13" s="141" t="s">
        <v>28</v>
      </c>
      <c r="Q13" s="141"/>
      <c r="R13" s="141"/>
      <c r="S13" s="141"/>
      <c r="T13" s="141"/>
      <c r="U13" s="141"/>
      <c r="V13" s="141" t="s">
        <v>23</v>
      </c>
      <c r="W13" s="141" t="s">
        <v>24</v>
      </c>
      <c r="X13" s="141" t="s">
        <v>25</v>
      </c>
      <c r="Y13" s="141" t="s">
        <v>26</v>
      </c>
      <c r="Z13" s="141" t="s">
        <v>66</v>
      </c>
      <c r="AA13" s="141" t="s">
        <v>67</v>
      </c>
      <c r="AB13" s="141"/>
      <c r="AC13" s="143"/>
      <c r="AD13" s="141"/>
      <c r="AE13" s="141"/>
      <c r="AF13" s="141"/>
      <c r="AG13" s="141" t="s">
        <v>29</v>
      </c>
      <c r="AH13" s="141"/>
      <c r="AI13" s="141"/>
      <c r="AJ13" s="141"/>
      <c r="AK13" s="141"/>
      <c r="AL13" s="141"/>
      <c r="AM13" s="141" t="s">
        <v>23</v>
      </c>
      <c r="AN13" s="141"/>
      <c r="AO13" s="141"/>
      <c r="AP13" s="141"/>
      <c r="AQ13" s="141"/>
      <c r="AR13" s="141"/>
      <c r="AS13" s="141"/>
      <c r="AT13" s="143" t="s">
        <v>31</v>
      </c>
      <c r="AU13" s="141"/>
      <c r="AV13" s="141" t="s">
        <v>68</v>
      </c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</row>
    <row r="14" spans="1:154" ht="14.25" x14ac:dyDescent="0.2">
      <c r="A14" s="2"/>
      <c r="B14" s="2"/>
      <c r="C14" s="2"/>
      <c r="D14" s="9"/>
      <c r="E14" s="131" t="s">
        <v>4</v>
      </c>
      <c r="F14" s="132"/>
      <c r="G14" s="133" t="s">
        <v>65</v>
      </c>
      <c r="H14" s="51" t="s">
        <v>2</v>
      </c>
      <c r="I14" s="29"/>
      <c r="J14" s="29"/>
      <c r="K14" s="32"/>
      <c r="L14" s="32"/>
      <c r="M14" s="144" t="s">
        <v>10</v>
      </c>
      <c r="N14" s="144" t="s">
        <v>12</v>
      </c>
      <c r="O14" s="141"/>
      <c r="P14" s="145">
        <v>45017</v>
      </c>
      <c r="Q14" s="141"/>
      <c r="R14" s="141" t="s">
        <v>20</v>
      </c>
      <c r="S14" s="141" t="s">
        <v>21</v>
      </c>
      <c r="T14" s="141" t="s">
        <v>22</v>
      </c>
      <c r="U14" s="141"/>
      <c r="V14" s="141"/>
      <c r="W14" s="141">
        <v>0</v>
      </c>
      <c r="X14" s="141"/>
      <c r="Y14" s="141"/>
      <c r="Z14" s="141"/>
      <c r="AA14" s="141"/>
      <c r="AB14" s="141"/>
      <c r="AC14" s="143"/>
      <c r="AD14" s="141"/>
      <c r="AE14" s="141"/>
      <c r="AF14" s="141"/>
      <c r="AG14" s="145">
        <v>45047</v>
      </c>
      <c r="AH14" s="141"/>
      <c r="AI14" s="144" t="s">
        <v>20</v>
      </c>
      <c r="AJ14" s="144" t="s">
        <v>21</v>
      </c>
      <c r="AK14" s="141" t="s">
        <v>22</v>
      </c>
      <c r="AL14" s="141"/>
      <c r="AM14" s="141"/>
      <c r="AN14" s="141"/>
      <c r="AO14" s="141"/>
      <c r="AP14" s="141"/>
      <c r="AQ14" s="141"/>
      <c r="AR14" s="141"/>
      <c r="AS14" s="141"/>
      <c r="AT14" s="141"/>
      <c r="AU14" s="140"/>
      <c r="AV14" s="140"/>
      <c r="AW14" s="140"/>
      <c r="AX14" s="141"/>
      <c r="AY14" s="140"/>
      <c r="AZ14" s="140"/>
      <c r="BA14" s="140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</row>
    <row r="15" spans="1:154" x14ac:dyDescent="0.2">
      <c r="A15" s="2"/>
      <c r="B15" s="2"/>
      <c r="C15" s="2"/>
      <c r="D15" s="9"/>
      <c r="E15" s="16">
        <f>AI15</f>
        <v>0</v>
      </c>
      <c r="F15" s="16">
        <f>AJ15</f>
        <v>1320</v>
      </c>
      <c r="G15" s="134">
        <f>T15</f>
        <v>7.4999999999999997E-2</v>
      </c>
      <c r="H15" s="18">
        <f>AR15</f>
        <v>99</v>
      </c>
      <c r="I15" s="29"/>
      <c r="J15" s="29"/>
      <c r="K15" s="32"/>
      <c r="L15" s="32"/>
      <c r="M15" s="144" t="s">
        <v>9</v>
      </c>
      <c r="N15" s="144" t="s">
        <v>13</v>
      </c>
      <c r="O15" s="141"/>
      <c r="P15" s="140">
        <f>P31</f>
        <v>1302</v>
      </c>
      <c r="Q15" s="141"/>
      <c r="R15" s="140">
        <v>0</v>
      </c>
      <c r="S15" s="140">
        <f t="shared" ref="S15:S21" si="0">P15</f>
        <v>1302</v>
      </c>
      <c r="T15" s="146">
        <v>7.4999999999999997E-2</v>
      </c>
      <c r="U15" s="141"/>
      <c r="V15" s="140">
        <f>(S15-R15)*T15</f>
        <v>97.649999999999991</v>
      </c>
      <c r="W15" s="140">
        <f>V15</f>
        <v>97.649999999999991</v>
      </c>
      <c r="X15" s="140">
        <f>MIN($H$8,W15)</f>
        <v>97.649999999999991</v>
      </c>
      <c r="Y15" s="140">
        <f t="shared" ref="Y15:Y22" si="1">MAX($H$8,W15)</f>
        <v>1639.29</v>
      </c>
      <c r="Z15" s="140">
        <f>IF(W15&gt;$H$8,0,V15)</f>
        <v>97.649999999999991</v>
      </c>
      <c r="AA15" s="140">
        <f>IF(W15&gt;$H$8, $H$8-W14,0)</f>
        <v>0</v>
      </c>
      <c r="AB15" s="140">
        <f>IF(AA15&lt;0,0,Z15+AA15)</f>
        <v>97.649999999999991</v>
      </c>
      <c r="AC15" s="140">
        <f>AB15</f>
        <v>97.649999999999991</v>
      </c>
      <c r="AD15" s="140">
        <f t="shared" ref="AD15:AD21" si="2">IF(AC15&gt;$H$8,0,AB15)</f>
        <v>97.649999999999991</v>
      </c>
      <c r="AE15" s="140">
        <f>AD15/T15</f>
        <v>1302</v>
      </c>
      <c r="AF15" s="141"/>
      <c r="AG15" s="140">
        <f>P32</f>
        <v>1320</v>
      </c>
      <c r="AH15" s="141"/>
      <c r="AI15" s="140">
        <v>0</v>
      </c>
      <c r="AJ15" s="140">
        <f t="shared" ref="AJ15:AJ21" si="3">AG15</f>
        <v>1320</v>
      </c>
      <c r="AK15" s="146">
        <v>7.4999999999999997E-2</v>
      </c>
      <c r="AL15" s="141"/>
      <c r="AM15" s="140">
        <f>(AJ15-AI15)*AK15</f>
        <v>99</v>
      </c>
      <c r="AN15" s="140">
        <f>$Z$27-AI15</f>
        <v>13911.667164188289</v>
      </c>
      <c r="AO15" s="140">
        <f>IF($Z$27&gt;AJ15,AM15,0)</f>
        <v>99</v>
      </c>
      <c r="AP15" s="140">
        <f>IF($Z$27&lt;AJ15,($Z$27-AI15)*AK15,0)</f>
        <v>0</v>
      </c>
      <c r="AQ15" s="140">
        <f>IF(AP15&lt;0,0,AP15)</f>
        <v>0</v>
      </c>
      <c r="AR15" s="140">
        <f>MAX(AO15,AQ15)</f>
        <v>99</v>
      </c>
      <c r="AS15" s="140"/>
      <c r="AT15" s="140">
        <f>AR15-AD15</f>
        <v>1.3500000000000085</v>
      </c>
      <c r="AU15" s="140"/>
      <c r="AV15" s="140">
        <f>AM15-V15</f>
        <v>1.3500000000000085</v>
      </c>
      <c r="AW15" s="140"/>
      <c r="AX15" s="141"/>
      <c r="AY15" s="140"/>
      <c r="AZ15" s="140"/>
      <c r="BA15" s="140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</row>
    <row r="16" spans="1:154" x14ac:dyDescent="0.2">
      <c r="A16" s="2"/>
      <c r="B16" s="2"/>
      <c r="C16" s="2"/>
      <c r="D16" s="9"/>
      <c r="E16" s="16">
        <f>AI16</f>
        <v>1320.01</v>
      </c>
      <c r="F16" s="16">
        <f t="shared" ref="F16:F20" si="4">AJ16</f>
        <v>2571.3003793165453</v>
      </c>
      <c r="G16" s="134">
        <f t="shared" ref="G16:G22" si="5">T16</f>
        <v>0.09</v>
      </c>
      <c r="H16" s="18">
        <f t="shared" ref="H16:H22" si="6">AR16</f>
        <v>112.61613413848907</v>
      </c>
      <c r="I16" s="29"/>
      <c r="J16" s="29"/>
      <c r="K16" s="32"/>
      <c r="L16" s="32"/>
      <c r="M16" s="144">
        <v>2000</v>
      </c>
      <c r="N16" s="144" t="s">
        <v>14</v>
      </c>
      <c r="O16" s="141"/>
      <c r="P16" s="140">
        <f>M16*$S$31</f>
        <v>2571.3003793165453</v>
      </c>
      <c r="Q16" s="141"/>
      <c r="R16" s="140">
        <f>S15+0.01</f>
        <v>1302.01</v>
      </c>
      <c r="S16" s="140">
        <f t="shared" si="0"/>
        <v>2571.3003793165453</v>
      </c>
      <c r="T16" s="146">
        <v>0.09</v>
      </c>
      <c r="U16" s="141"/>
      <c r="V16" s="140">
        <f t="shared" ref="V16:V21" si="7">(S16-R16)*T16</f>
        <v>114.23613413848908</v>
      </c>
      <c r="W16" s="140">
        <f t="shared" ref="W16:W21" si="8">V16+W15</f>
        <v>211.88613413848907</v>
      </c>
      <c r="X16" s="140">
        <f t="shared" ref="X16:X22" si="9">MIN($H$8,W16)</f>
        <v>211.88613413848907</v>
      </c>
      <c r="Y16" s="140">
        <f t="shared" si="1"/>
        <v>1639.29</v>
      </c>
      <c r="Z16" s="140">
        <f t="shared" ref="Z16:Z21" si="10">IF(W16&gt;$H$8,0,V16)</f>
        <v>114.23613413848908</v>
      </c>
      <c r="AA16" s="140">
        <f t="shared" ref="AA16:AA21" si="11">IF(W16&gt;$H$8, $H$8-W15,0)</f>
        <v>0</v>
      </c>
      <c r="AB16" s="140">
        <f t="shared" ref="AB16:AB21" si="12">IF(AA16&lt;0,0,Z16+AA16)</f>
        <v>114.23613413848908</v>
      </c>
      <c r="AC16" s="140">
        <f t="shared" ref="AC16:AC21" si="13">AC15+AB16</f>
        <v>211.88613413848907</v>
      </c>
      <c r="AD16" s="140">
        <f t="shared" si="2"/>
        <v>114.23613413848908</v>
      </c>
      <c r="AE16" s="140">
        <f t="shared" ref="AE16:AE21" si="14">AD16/T16</f>
        <v>1269.2903793165453</v>
      </c>
      <c r="AF16" s="141"/>
      <c r="AG16" s="140">
        <f>M16*$S$32</f>
        <v>2571.3003793165453</v>
      </c>
      <c r="AH16" s="141"/>
      <c r="AI16" s="140">
        <f>AJ15+0.01</f>
        <v>1320.01</v>
      </c>
      <c r="AJ16" s="140">
        <f t="shared" si="3"/>
        <v>2571.3003793165453</v>
      </c>
      <c r="AK16" s="146">
        <v>0.09</v>
      </c>
      <c r="AL16" s="141"/>
      <c r="AM16" s="140">
        <f t="shared" ref="AM16:AM21" si="15">(AJ16-AI16)*AK16</f>
        <v>112.61613413848907</v>
      </c>
      <c r="AN16" s="140">
        <f t="shared" ref="AN16:AN22" si="16">$Z$27-AI16</f>
        <v>12591.657164188289</v>
      </c>
      <c r="AO16" s="140">
        <f t="shared" ref="AO16:AO22" si="17">IF($Z$27&gt;AJ16,AM16,0)</f>
        <v>112.61613413848907</v>
      </c>
      <c r="AP16" s="140">
        <f t="shared" ref="AP16:AP22" si="18">IF($Z$27&lt;AJ16,($Z$27-AI16)*AK16,0)</f>
        <v>0</v>
      </c>
      <c r="AQ16" s="140">
        <f t="shared" ref="AQ16:AQ22" si="19">IF(AP16&lt;0,0,AP16)</f>
        <v>0</v>
      </c>
      <c r="AR16" s="140">
        <f t="shared" ref="AR16:AR23" si="20">MAX(AO16,AQ16)</f>
        <v>112.61613413848907</v>
      </c>
      <c r="AS16" s="140"/>
      <c r="AT16" s="140">
        <f t="shared" ref="AT16:AT22" si="21">AR16-AD16</f>
        <v>-1.6200000000000045</v>
      </c>
      <c r="AU16" s="140"/>
      <c r="AV16" s="140">
        <f>AM16-V16</f>
        <v>-1.6200000000000045</v>
      </c>
      <c r="AW16" s="140"/>
      <c r="AX16" s="141"/>
      <c r="AY16" s="140"/>
      <c r="AZ16" s="140"/>
      <c r="BA16" s="140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</row>
    <row r="17" spans="1:154" x14ac:dyDescent="0.2">
      <c r="A17" s="2"/>
      <c r="B17" s="2"/>
      <c r="C17" s="2"/>
      <c r="D17" s="9"/>
      <c r="E17" s="16">
        <f>AI17</f>
        <v>2571.3103793165455</v>
      </c>
      <c r="F17" s="16">
        <f t="shared" si="4"/>
        <v>3856.950568974818</v>
      </c>
      <c r="G17" s="134">
        <f t="shared" si="5"/>
        <v>0.12</v>
      </c>
      <c r="H17" s="18">
        <f t="shared" si="6"/>
        <v>154.27682275899269</v>
      </c>
      <c r="I17" s="29"/>
      <c r="J17" s="29"/>
      <c r="K17" s="32"/>
      <c r="L17" s="32"/>
      <c r="M17" s="144" t="s">
        <v>16</v>
      </c>
      <c r="N17" s="144" t="s">
        <v>14</v>
      </c>
      <c r="O17" s="141"/>
      <c r="P17" s="140">
        <f>1.5*P16</f>
        <v>3856.950568974818</v>
      </c>
      <c r="Q17" s="141"/>
      <c r="R17" s="140">
        <f t="shared" ref="R17:R22" si="22">S16+0.01</f>
        <v>2571.3103793165455</v>
      </c>
      <c r="S17" s="140">
        <f t="shared" si="0"/>
        <v>3856.950568974818</v>
      </c>
      <c r="T17" s="146">
        <v>0.12</v>
      </c>
      <c r="U17" s="141"/>
      <c r="V17" s="140">
        <f t="shared" si="7"/>
        <v>154.27682275899269</v>
      </c>
      <c r="W17" s="140">
        <f t="shared" si="8"/>
        <v>366.16295689748176</v>
      </c>
      <c r="X17" s="140">
        <f t="shared" si="9"/>
        <v>366.16295689748176</v>
      </c>
      <c r="Y17" s="140">
        <f t="shared" si="1"/>
        <v>1639.29</v>
      </c>
      <c r="Z17" s="140">
        <f t="shared" si="10"/>
        <v>154.27682275899269</v>
      </c>
      <c r="AA17" s="140">
        <f t="shared" si="11"/>
        <v>0</v>
      </c>
      <c r="AB17" s="140">
        <f t="shared" si="12"/>
        <v>154.27682275899269</v>
      </c>
      <c r="AC17" s="140">
        <f t="shared" si="13"/>
        <v>366.16295689748176</v>
      </c>
      <c r="AD17" s="140">
        <f t="shared" si="2"/>
        <v>154.27682275899269</v>
      </c>
      <c r="AE17" s="140">
        <f t="shared" si="14"/>
        <v>1285.6401896582724</v>
      </c>
      <c r="AF17" s="141"/>
      <c r="AG17" s="140">
        <f>1.5*AG16</f>
        <v>3856.950568974818</v>
      </c>
      <c r="AH17" s="141"/>
      <c r="AI17" s="140">
        <f t="shared" ref="AI17:AI22" si="23">AJ16+0.01</f>
        <v>2571.3103793165455</v>
      </c>
      <c r="AJ17" s="140">
        <f t="shared" si="3"/>
        <v>3856.950568974818</v>
      </c>
      <c r="AK17" s="146">
        <v>0.12</v>
      </c>
      <c r="AL17" s="141"/>
      <c r="AM17" s="140">
        <f t="shared" si="15"/>
        <v>154.27682275899269</v>
      </c>
      <c r="AN17" s="140">
        <f t="shared" si="16"/>
        <v>11340.356784871743</v>
      </c>
      <c r="AO17" s="140">
        <f t="shared" si="17"/>
        <v>154.27682275899269</v>
      </c>
      <c r="AP17" s="140">
        <f t="shared" si="18"/>
        <v>0</v>
      </c>
      <c r="AQ17" s="140">
        <f t="shared" si="19"/>
        <v>0</v>
      </c>
      <c r="AR17" s="140">
        <f t="shared" si="20"/>
        <v>154.27682275899269</v>
      </c>
      <c r="AS17" s="140"/>
      <c r="AT17" s="140">
        <f t="shared" si="21"/>
        <v>0</v>
      </c>
      <c r="AU17" s="140"/>
      <c r="AV17" s="140">
        <f>AM17-V17</f>
        <v>0</v>
      </c>
      <c r="AW17" s="140"/>
      <c r="AX17" s="141"/>
      <c r="AY17" s="140"/>
      <c r="AZ17" s="140"/>
      <c r="BA17" s="140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</row>
    <row r="18" spans="1:154" x14ac:dyDescent="0.2">
      <c r="A18" s="2"/>
      <c r="B18" s="2"/>
      <c r="C18" s="2"/>
      <c r="D18" s="9"/>
      <c r="E18" s="16">
        <f>AI18</f>
        <v>3856.9605689748182</v>
      </c>
      <c r="F18" s="16">
        <f t="shared" si="4"/>
        <v>7507.49</v>
      </c>
      <c r="G18" s="134">
        <f t="shared" si="5"/>
        <v>0.14000000000000001</v>
      </c>
      <c r="H18" s="18">
        <f t="shared" si="6"/>
        <v>511.07412034352546</v>
      </c>
      <c r="I18" s="29"/>
      <c r="J18" s="29"/>
      <c r="K18" s="32"/>
      <c r="L18" s="32"/>
      <c r="M18" s="144" t="s">
        <v>5</v>
      </c>
      <c r="N18" s="144" t="s">
        <v>15</v>
      </c>
      <c r="O18" s="141"/>
      <c r="P18" s="140">
        <f>R31</f>
        <v>7507.49</v>
      </c>
      <c r="Q18" s="141"/>
      <c r="R18" s="140">
        <f t="shared" si="22"/>
        <v>3856.9605689748182</v>
      </c>
      <c r="S18" s="140">
        <f t="shared" si="0"/>
        <v>7507.49</v>
      </c>
      <c r="T18" s="146">
        <v>0.14000000000000001</v>
      </c>
      <c r="U18" s="141"/>
      <c r="V18" s="140">
        <f t="shared" si="7"/>
        <v>511.07412034352546</v>
      </c>
      <c r="W18" s="140">
        <f t="shared" si="8"/>
        <v>877.23707724100723</v>
      </c>
      <c r="X18" s="140">
        <f t="shared" si="9"/>
        <v>877.23707724100723</v>
      </c>
      <c r="Y18" s="140">
        <f t="shared" si="1"/>
        <v>1639.29</v>
      </c>
      <c r="Z18" s="140">
        <f t="shared" si="10"/>
        <v>511.07412034352546</v>
      </c>
      <c r="AA18" s="140">
        <f t="shared" si="11"/>
        <v>0</v>
      </c>
      <c r="AB18" s="140">
        <f t="shared" si="12"/>
        <v>511.07412034352546</v>
      </c>
      <c r="AC18" s="140">
        <f t="shared" si="13"/>
        <v>877.23707724100723</v>
      </c>
      <c r="AD18" s="140">
        <f t="shared" si="2"/>
        <v>511.07412034352546</v>
      </c>
      <c r="AE18" s="140">
        <f t="shared" si="14"/>
        <v>3650.5294310251816</v>
      </c>
      <c r="AF18" s="141"/>
      <c r="AG18" s="140">
        <f>R32</f>
        <v>7507.49</v>
      </c>
      <c r="AH18" s="141"/>
      <c r="AI18" s="140">
        <f t="shared" si="23"/>
        <v>3856.9605689748182</v>
      </c>
      <c r="AJ18" s="140">
        <f t="shared" si="3"/>
        <v>7507.49</v>
      </c>
      <c r="AK18" s="146">
        <v>0.14000000000000001</v>
      </c>
      <c r="AL18" s="141"/>
      <c r="AM18" s="140">
        <f>(AJ18-AI18)*AK18</f>
        <v>511.07412034352546</v>
      </c>
      <c r="AN18" s="140">
        <f t="shared" si="16"/>
        <v>10054.706595213471</v>
      </c>
      <c r="AO18" s="140">
        <f t="shared" si="17"/>
        <v>511.07412034352546</v>
      </c>
      <c r="AP18" s="140">
        <f t="shared" si="18"/>
        <v>0</v>
      </c>
      <c r="AQ18" s="140">
        <f t="shared" si="19"/>
        <v>0</v>
      </c>
      <c r="AR18" s="140">
        <f t="shared" si="20"/>
        <v>511.07412034352546</v>
      </c>
      <c r="AS18" s="140"/>
      <c r="AT18" s="140">
        <f t="shared" si="21"/>
        <v>0</v>
      </c>
      <c r="AU18" s="140"/>
      <c r="AV18" s="140">
        <f>AM18-V18</f>
        <v>0</v>
      </c>
      <c r="AW18" s="140"/>
      <c r="AX18" s="141"/>
      <c r="AY18" s="140"/>
      <c r="AZ18" s="140"/>
      <c r="BA18" s="140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</row>
    <row r="19" spans="1:154" x14ac:dyDescent="0.2">
      <c r="A19" s="2"/>
      <c r="B19" s="2"/>
      <c r="C19" s="2"/>
      <c r="D19" s="9"/>
      <c r="E19" s="16">
        <f>AI19</f>
        <v>7507.5</v>
      </c>
      <c r="F19" s="16">
        <f t="shared" si="4"/>
        <v>12856.501896582726</v>
      </c>
      <c r="G19" s="134">
        <f t="shared" si="5"/>
        <v>0.14499999999999999</v>
      </c>
      <c r="H19" s="18">
        <f t="shared" si="6"/>
        <v>775.60527500449518</v>
      </c>
      <c r="I19" s="29"/>
      <c r="J19" s="29"/>
      <c r="K19" s="32"/>
      <c r="L19" s="32"/>
      <c r="M19" s="144" t="s">
        <v>17</v>
      </c>
      <c r="N19" s="144" t="s">
        <v>14</v>
      </c>
      <c r="O19" s="141"/>
      <c r="P19" s="140">
        <f>5*P16</f>
        <v>12856.501896582726</v>
      </c>
      <c r="Q19" s="141"/>
      <c r="R19" s="140">
        <f t="shared" si="22"/>
        <v>7507.5</v>
      </c>
      <c r="S19" s="140">
        <f t="shared" si="0"/>
        <v>12856.501896582726</v>
      </c>
      <c r="T19" s="146">
        <v>0.14499999999999999</v>
      </c>
      <c r="U19" s="141"/>
      <c r="V19" s="140">
        <f t="shared" si="7"/>
        <v>775.60527500449518</v>
      </c>
      <c r="W19" s="140">
        <f t="shared" si="8"/>
        <v>1652.8423522455023</v>
      </c>
      <c r="X19" s="140">
        <f t="shared" si="9"/>
        <v>1639.29</v>
      </c>
      <c r="Y19" s="140">
        <f t="shared" si="1"/>
        <v>1652.8423522455023</v>
      </c>
      <c r="Z19" s="140">
        <f t="shared" si="10"/>
        <v>0</v>
      </c>
      <c r="AA19" s="140">
        <f t="shared" si="11"/>
        <v>762.05292275899274</v>
      </c>
      <c r="AB19" s="140">
        <f t="shared" si="12"/>
        <v>762.05292275899274</v>
      </c>
      <c r="AC19" s="140">
        <f t="shared" si="13"/>
        <v>1639.29</v>
      </c>
      <c r="AD19" s="140">
        <f t="shared" si="2"/>
        <v>762.05292275899274</v>
      </c>
      <c r="AE19" s="140">
        <f t="shared" si="14"/>
        <v>5255.5373983378813</v>
      </c>
      <c r="AF19" s="141"/>
      <c r="AG19" s="140">
        <f>5*AG16</f>
        <v>12856.501896582726</v>
      </c>
      <c r="AH19" s="141"/>
      <c r="AI19" s="140">
        <f t="shared" si="23"/>
        <v>7507.5</v>
      </c>
      <c r="AJ19" s="140">
        <f t="shared" si="3"/>
        <v>12856.501896582726</v>
      </c>
      <c r="AK19" s="146">
        <v>0.14499999999999999</v>
      </c>
      <c r="AL19" s="141"/>
      <c r="AM19" s="140">
        <f t="shared" si="15"/>
        <v>775.60527500449518</v>
      </c>
      <c r="AN19" s="140">
        <f t="shared" si="16"/>
        <v>6404.1671641882895</v>
      </c>
      <c r="AO19" s="140">
        <f t="shared" si="17"/>
        <v>775.60527500449518</v>
      </c>
      <c r="AP19" s="140">
        <f t="shared" si="18"/>
        <v>0</v>
      </c>
      <c r="AQ19" s="140">
        <f>IF(AP19&lt;0,0,AP19)</f>
        <v>0</v>
      </c>
      <c r="AR19" s="140">
        <f t="shared" si="20"/>
        <v>775.60527500449518</v>
      </c>
      <c r="AS19" s="140"/>
      <c r="AT19" s="140">
        <f t="shared" si="21"/>
        <v>13.552352245502448</v>
      </c>
      <c r="AU19" s="140"/>
      <c r="AV19" s="140">
        <f>AM19-V19</f>
        <v>0</v>
      </c>
      <c r="AW19" s="140"/>
      <c r="AX19" s="141"/>
      <c r="AY19" s="140"/>
      <c r="AZ19" s="140"/>
      <c r="BA19" s="140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</row>
    <row r="20" spans="1:154" x14ac:dyDescent="0.2">
      <c r="A20" s="2"/>
      <c r="B20" s="2"/>
      <c r="C20" s="2"/>
      <c r="D20" s="9"/>
      <c r="E20" s="16">
        <f>AI20</f>
        <v>12856.511896582726</v>
      </c>
      <c r="F20" s="16">
        <f t="shared" si="4"/>
        <v>25713.003793165451</v>
      </c>
      <c r="G20" s="134">
        <f t="shared" si="5"/>
        <v>0.16500000000000001</v>
      </c>
      <c r="H20" s="18">
        <f t="shared" si="6"/>
        <v>174.10061915491798</v>
      </c>
      <c r="I20" s="29"/>
      <c r="J20" s="29"/>
      <c r="K20" s="32"/>
      <c r="L20" s="32"/>
      <c r="M20" s="144" t="s">
        <v>18</v>
      </c>
      <c r="N20" s="144" t="s">
        <v>14</v>
      </c>
      <c r="O20" s="141"/>
      <c r="P20" s="140">
        <f>10*P16</f>
        <v>25713.003793165451</v>
      </c>
      <c r="Q20" s="141"/>
      <c r="R20" s="140">
        <f t="shared" si="22"/>
        <v>12856.511896582726</v>
      </c>
      <c r="S20" s="140">
        <f t="shared" si="0"/>
        <v>25713.003793165451</v>
      </c>
      <c r="T20" s="146">
        <v>0.16500000000000001</v>
      </c>
      <c r="U20" s="141"/>
      <c r="V20" s="140">
        <f t="shared" si="7"/>
        <v>2121.3211629361499</v>
      </c>
      <c r="W20" s="140">
        <f t="shared" si="8"/>
        <v>3774.1635151816522</v>
      </c>
      <c r="X20" s="140">
        <f t="shared" si="9"/>
        <v>1639.29</v>
      </c>
      <c r="Y20" s="140">
        <f t="shared" si="1"/>
        <v>3774.1635151816522</v>
      </c>
      <c r="Z20" s="140">
        <f t="shared" si="10"/>
        <v>0</v>
      </c>
      <c r="AA20" s="140">
        <f t="shared" si="11"/>
        <v>-13.552352245502334</v>
      </c>
      <c r="AB20" s="140">
        <f t="shared" si="12"/>
        <v>0</v>
      </c>
      <c r="AC20" s="140">
        <f t="shared" si="13"/>
        <v>1639.29</v>
      </c>
      <c r="AD20" s="140">
        <f t="shared" si="2"/>
        <v>0</v>
      </c>
      <c r="AE20" s="140">
        <f t="shared" si="14"/>
        <v>0</v>
      </c>
      <c r="AF20" s="141"/>
      <c r="AG20" s="140">
        <f>10*AG16</f>
        <v>25713.003793165451</v>
      </c>
      <c r="AH20" s="141"/>
      <c r="AI20" s="140">
        <f t="shared" si="23"/>
        <v>12856.511896582726</v>
      </c>
      <c r="AJ20" s="140">
        <f t="shared" si="3"/>
        <v>25713.003793165451</v>
      </c>
      <c r="AK20" s="146">
        <v>0.16500000000000001</v>
      </c>
      <c r="AL20" s="141"/>
      <c r="AM20" s="140">
        <f t="shared" si="15"/>
        <v>2121.3211629361499</v>
      </c>
      <c r="AN20" s="140">
        <f t="shared" si="16"/>
        <v>1055.1552676055635</v>
      </c>
      <c r="AO20" s="140">
        <f t="shared" si="17"/>
        <v>0</v>
      </c>
      <c r="AP20" s="140">
        <f t="shared" si="18"/>
        <v>174.10061915491798</v>
      </c>
      <c r="AQ20" s="140">
        <f t="shared" si="19"/>
        <v>174.10061915491798</v>
      </c>
      <c r="AR20" s="140">
        <f t="shared" si="20"/>
        <v>174.10061915491798</v>
      </c>
      <c r="AS20" s="140"/>
      <c r="AT20" s="140">
        <f t="shared" si="21"/>
        <v>174.10061915491798</v>
      </c>
      <c r="AU20" s="140"/>
      <c r="AV20" s="140">
        <f>AM20-V20</f>
        <v>0</v>
      </c>
      <c r="AW20" s="140"/>
      <c r="AX20" s="141"/>
      <c r="AY20" s="140"/>
      <c r="AZ20" s="140"/>
      <c r="BA20" s="140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</row>
    <row r="21" spans="1:154" x14ac:dyDescent="0.2">
      <c r="A21" s="2"/>
      <c r="B21" s="2"/>
      <c r="C21" s="2"/>
      <c r="D21" s="8"/>
      <c r="E21" s="16">
        <f>AI21</f>
        <v>25713.01379316545</v>
      </c>
      <c r="F21" s="16">
        <f>AJ21</f>
        <v>50140.357396672633</v>
      </c>
      <c r="G21" s="134">
        <f t="shared" si="5"/>
        <v>0.19</v>
      </c>
      <c r="H21" s="18">
        <f t="shared" si="6"/>
        <v>0</v>
      </c>
      <c r="I21" s="29"/>
      <c r="J21" s="29"/>
      <c r="K21" s="32"/>
      <c r="L21" s="32"/>
      <c r="M21" s="144" t="s">
        <v>19</v>
      </c>
      <c r="N21" s="144" t="s">
        <v>14</v>
      </c>
      <c r="O21" s="141"/>
      <c r="P21" s="140">
        <f>19.5*P16</f>
        <v>50140.357396672633</v>
      </c>
      <c r="Q21" s="141"/>
      <c r="R21" s="140">
        <f t="shared" si="22"/>
        <v>25713.01379316545</v>
      </c>
      <c r="S21" s="140">
        <f t="shared" si="0"/>
        <v>50140.357396672633</v>
      </c>
      <c r="T21" s="146">
        <v>0.19</v>
      </c>
      <c r="U21" s="141"/>
      <c r="V21" s="140">
        <f t="shared" si="7"/>
        <v>4641.1952846663644</v>
      </c>
      <c r="W21" s="140">
        <f t="shared" si="8"/>
        <v>8415.3587998480161</v>
      </c>
      <c r="X21" s="140">
        <f t="shared" si="9"/>
        <v>1639.29</v>
      </c>
      <c r="Y21" s="140">
        <f t="shared" si="1"/>
        <v>8415.3587998480161</v>
      </c>
      <c r="Z21" s="140">
        <f t="shared" si="10"/>
        <v>0</v>
      </c>
      <c r="AA21" s="140">
        <f t="shared" si="11"/>
        <v>-2134.8735151816522</v>
      </c>
      <c r="AB21" s="140">
        <f t="shared" si="12"/>
        <v>0</v>
      </c>
      <c r="AC21" s="140">
        <f t="shared" si="13"/>
        <v>1639.29</v>
      </c>
      <c r="AD21" s="140">
        <f t="shared" si="2"/>
        <v>0</v>
      </c>
      <c r="AE21" s="140">
        <f t="shared" si="14"/>
        <v>0</v>
      </c>
      <c r="AF21" s="141"/>
      <c r="AG21" s="140">
        <f>19.5*AG16</f>
        <v>50140.357396672633</v>
      </c>
      <c r="AH21" s="141"/>
      <c r="AI21" s="140">
        <f t="shared" si="23"/>
        <v>25713.01379316545</v>
      </c>
      <c r="AJ21" s="140">
        <f t="shared" si="3"/>
        <v>50140.357396672633</v>
      </c>
      <c r="AK21" s="146">
        <v>0.19</v>
      </c>
      <c r="AL21" s="141"/>
      <c r="AM21" s="140">
        <f t="shared" si="15"/>
        <v>4641.1952846663644</v>
      </c>
      <c r="AN21" s="140">
        <f t="shared" si="16"/>
        <v>-11801.34662897716</v>
      </c>
      <c r="AO21" s="140">
        <f t="shared" si="17"/>
        <v>0</v>
      </c>
      <c r="AP21" s="140">
        <f t="shared" si="18"/>
        <v>-2242.2558595056603</v>
      </c>
      <c r="AQ21" s="140">
        <f t="shared" si="19"/>
        <v>0</v>
      </c>
      <c r="AR21" s="140">
        <f t="shared" si="20"/>
        <v>0</v>
      </c>
      <c r="AS21" s="140"/>
      <c r="AT21" s="140">
        <f t="shared" si="21"/>
        <v>0</v>
      </c>
      <c r="AU21" s="140"/>
      <c r="AV21" s="140">
        <f>AM21-V21</f>
        <v>0</v>
      </c>
      <c r="AW21" s="141"/>
      <c r="AX21" s="141"/>
      <c r="AY21" s="140"/>
      <c r="AZ21" s="140"/>
      <c r="BA21" s="140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</row>
    <row r="22" spans="1:154" ht="13.5" thickBot="1" x14ac:dyDescent="0.25">
      <c r="A22" s="2"/>
      <c r="B22" s="2"/>
      <c r="C22" s="2"/>
      <c r="D22" s="8"/>
      <c r="E22" s="16">
        <f>AI22</f>
        <v>50140.367396672635</v>
      </c>
      <c r="F22" s="16" t="s">
        <v>27</v>
      </c>
      <c r="G22" s="134">
        <f t="shared" si="5"/>
        <v>0.22</v>
      </c>
      <c r="H22" s="18">
        <f t="shared" si="6"/>
        <v>0</v>
      </c>
      <c r="I22" s="107"/>
      <c r="J22" s="108"/>
      <c r="K22" s="52"/>
      <c r="L22" s="44"/>
      <c r="M22" s="141"/>
      <c r="N22" s="141"/>
      <c r="O22" s="141"/>
      <c r="P22" s="141"/>
      <c r="Q22" s="141"/>
      <c r="R22" s="140">
        <f t="shared" si="22"/>
        <v>50140.367396672635</v>
      </c>
      <c r="S22" s="140" t="s">
        <v>27</v>
      </c>
      <c r="T22" s="146">
        <v>0.22</v>
      </c>
      <c r="U22" s="141"/>
      <c r="V22" s="140"/>
      <c r="W22" s="140">
        <f>IF($H$8&gt;W21,W21+Z21,0)</f>
        <v>0</v>
      </c>
      <c r="X22" s="140">
        <f t="shared" si="9"/>
        <v>0</v>
      </c>
      <c r="Y22" s="140">
        <f t="shared" si="1"/>
        <v>1639.29</v>
      </c>
      <c r="Z22" s="140">
        <f>$H$8-W21</f>
        <v>-6776.0687998480162</v>
      </c>
      <c r="AA22" s="140"/>
      <c r="AB22" s="140"/>
      <c r="AC22" s="140"/>
      <c r="AD22" s="140">
        <f>IF(Z22&lt;0,0,Z22)</f>
        <v>0</v>
      </c>
      <c r="AE22" s="140">
        <f>AD22/T22</f>
        <v>0</v>
      </c>
      <c r="AF22" s="141"/>
      <c r="AG22" s="141"/>
      <c r="AH22" s="141"/>
      <c r="AI22" s="140">
        <f t="shared" si="23"/>
        <v>50140.367396672635</v>
      </c>
      <c r="AJ22" s="140" t="s">
        <v>27</v>
      </c>
      <c r="AK22" s="146">
        <v>0.22</v>
      </c>
      <c r="AL22" s="141"/>
      <c r="AM22" s="140">
        <v>0</v>
      </c>
      <c r="AN22" s="140">
        <f t="shared" si="16"/>
        <v>-36228.700232484349</v>
      </c>
      <c r="AO22" s="140">
        <f t="shared" si="17"/>
        <v>0</v>
      </c>
      <c r="AP22" s="140">
        <f t="shared" si="18"/>
        <v>-7970.3140511465572</v>
      </c>
      <c r="AQ22" s="140">
        <f t="shared" si="19"/>
        <v>0</v>
      </c>
      <c r="AR22" s="140">
        <f t="shared" si="20"/>
        <v>0</v>
      </c>
      <c r="AS22" s="140"/>
      <c r="AT22" s="140">
        <f t="shared" si="21"/>
        <v>0</v>
      </c>
      <c r="AU22" s="141"/>
      <c r="AV22" s="140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</row>
    <row r="23" spans="1:154" ht="15.75" thickBot="1" x14ac:dyDescent="0.3">
      <c r="A23" s="2"/>
      <c r="B23" s="2"/>
      <c r="D23" s="8"/>
      <c r="F23" s="53"/>
      <c r="G23" s="25" t="s">
        <v>43</v>
      </c>
      <c r="H23" s="10">
        <f>MAX(AR24,AM15,0.075*H12)</f>
        <v>1826.6729714004202</v>
      </c>
      <c r="I23" s="29"/>
      <c r="J23" s="29"/>
      <c r="K23" s="32"/>
      <c r="L23" s="32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0"/>
      <c r="AF23" s="141"/>
      <c r="AG23" s="141"/>
      <c r="AH23" s="141"/>
      <c r="AI23" s="141"/>
      <c r="AJ23" s="141"/>
      <c r="AK23" s="141"/>
      <c r="AL23" s="141"/>
      <c r="AM23" s="141"/>
      <c r="AN23" s="140"/>
      <c r="AO23" s="141"/>
      <c r="AP23" s="140"/>
      <c r="AQ23" s="141"/>
      <c r="AR23" s="140"/>
      <c r="AS23" s="141"/>
      <c r="AT23" s="141"/>
      <c r="AU23" s="141"/>
      <c r="AV23" s="140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</row>
    <row r="24" spans="1:154" ht="15.75" thickBot="1" x14ac:dyDescent="0.3">
      <c r="A24" s="2"/>
      <c r="B24" s="2"/>
      <c r="C24" s="2"/>
      <c r="D24" s="8"/>
      <c r="F24" s="22"/>
      <c r="G24" s="54" t="s">
        <v>42</v>
      </c>
      <c r="H24" s="20">
        <f>IF(H9&lt;AG15,0.075,H23/H9)</f>
        <v>0.14312256865603584</v>
      </c>
      <c r="I24" s="29"/>
      <c r="J24" s="29"/>
      <c r="K24" s="32"/>
      <c r="L24" s="32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7" t="s">
        <v>30</v>
      </c>
      <c r="Z24" s="148">
        <f>SUM(AE15:AE22)</f>
        <v>12762.99739833788</v>
      </c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0"/>
      <c r="AP24" s="140"/>
      <c r="AQ24" s="140"/>
      <c r="AR24" s="140">
        <f>SUM(AR15:AR22)</f>
        <v>1826.6729714004202</v>
      </c>
      <c r="AS24" s="141"/>
      <c r="AT24" s="140">
        <f>SUM(AT15:AT22)</f>
        <v>187.38297140042044</v>
      </c>
      <c r="AU24" s="141"/>
      <c r="AV24" s="140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</row>
    <row r="25" spans="1:154" ht="15.75" x14ac:dyDescent="0.25">
      <c r="A25" s="2"/>
      <c r="B25" s="2"/>
      <c r="C25" s="2"/>
      <c r="D25" s="8"/>
      <c r="E25" s="5"/>
      <c r="F25" s="26"/>
      <c r="G25" s="26"/>
      <c r="H25" s="55"/>
      <c r="I25" s="29"/>
      <c r="J25" s="29"/>
      <c r="K25" s="32"/>
      <c r="L25" s="32"/>
      <c r="M25" s="141"/>
      <c r="N25" s="141"/>
      <c r="O25" s="149" t="s">
        <v>1</v>
      </c>
      <c r="P25" s="149"/>
      <c r="Q25" s="149" t="s">
        <v>7</v>
      </c>
      <c r="R25" s="149"/>
      <c r="S25" s="141"/>
      <c r="T25" s="141"/>
      <c r="U25" s="141"/>
      <c r="V25" s="141"/>
      <c r="W25" s="141"/>
      <c r="X25" s="140"/>
      <c r="Y25" s="141" t="s">
        <v>47</v>
      </c>
      <c r="Z25" s="150">
        <v>0.09</v>
      </c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0">
        <f>AR24-H8</f>
        <v>187.38297140042027</v>
      </c>
      <c r="AU25" s="141"/>
      <c r="AV25" s="140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</row>
    <row r="26" spans="1:154" x14ac:dyDescent="0.2">
      <c r="A26" s="2"/>
      <c r="B26" s="2"/>
      <c r="C26" s="2"/>
      <c r="D26" s="8"/>
      <c r="E26" s="8"/>
      <c r="F26" s="8"/>
      <c r="G26" s="56" t="s">
        <v>33</v>
      </c>
      <c r="H26" s="57">
        <f>IF(H8&lt;V15,(H12*0.075)-V15,H23-H8)</f>
        <v>187.38297140042027</v>
      </c>
      <c r="I26" s="29"/>
      <c r="J26" s="29"/>
      <c r="K26" s="32"/>
      <c r="L26" s="32"/>
      <c r="M26" s="151"/>
      <c r="N26" s="151" t="s">
        <v>8</v>
      </c>
      <c r="O26" s="151" t="s">
        <v>0</v>
      </c>
      <c r="P26" s="151" t="s">
        <v>6</v>
      </c>
      <c r="Q26" s="151" t="s">
        <v>0</v>
      </c>
      <c r="R26" s="151" t="s">
        <v>6</v>
      </c>
      <c r="S26" s="141" t="s">
        <v>11</v>
      </c>
      <c r="T26" s="141"/>
      <c r="U26" s="141"/>
      <c r="V26" s="141"/>
      <c r="W26" s="141"/>
      <c r="X26" s="140"/>
      <c r="Y26" s="141" t="s">
        <v>48</v>
      </c>
      <c r="Z26" s="140">
        <f>Z24*Z25</f>
        <v>1148.6697658504092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0"/>
      <c r="AR26" s="140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</row>
    <row r="27" spans="1:154" x14ac:dyDescent="0.2">
      <c r="A27" s="2"/>
      <c r="B27" s="2"/>
      <c r="C27" s="2"/>
      <c r="D27" s="8"/>
      <c r="E27" s="58"/>
      <c r="F27" s="8"/>
      <c r="G27" s="8"/>
      <c r="H27" s="59">
        <f>IF(H8&lt;V15,H26/V15,H26/H8)</f>
        <v>0.11430739612906825</v>
      </c>
      <c r="I27" s="29"/>
      <c r="J27" s="29"/>
      <c r="K27" s="32"/>
      <c r="L27" s="32"/>
      <c r="M27" s="141"/>
      <c r="N27" s="141">
        <v>2019</v>
      </c>
      <c r="O27" s="150">
        <v>0</v>
      </c>
      <c r="P27" s="140">
        <v>998</v>
      </c>
      <c r="Q27" s="150"/>
      <c r="R27" s="140">
        <v>5839.45</v>
      </c>
      <c r="S27" s="141">
        <v>1</v>
      </c>
      <c r="T27" s="141"/>
      <c r="U27" s="141"/>
      <c r="V27" s="141"/>
      <c r="W27" s="141"/>
      <c r="X27" s="140"/>
      <c r="Y27" s="141" t="s">
        <v>69</v>
      </c>
      <c r="Z27" s="140">
        <f>Z24+Z26</f>
        <v>13911.667164188289</v>
      </c>
      <c r="AA27" s="140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</row>
    <row r="28" spans="1:154" x14ac:dyDescent="0.2">
      <c r="A28" s="2"/>
      <c r="B28" s="2"/>
      <c r="C28" s="2"/>
      <c r="D28" s="8"/>
      <c r="E28" s="60"/>
      <c r="F28" s="3"/>
      <c r="G28" s="3"/>
      <c r="H28" s="61"/>
      <c r="I28" s="1"/>
      <c r="J28" s="1"/>
      <c r="K28" s="14"/>
      <c r="L28" s="32"/>
      <c r="M28" s="141"/>
      <c r="N28" s="141">
        <v>2021</v>
      </c>
      <c r="O28" s="150">
        <f>(P28-P27)/P27</f>
        <v>4.7094188376753505E-2</v>
      </c>
      <c r="P28" s="140">
        <v>1045</v>
      </c>
      <c r="Q28" s="150">
        <f>(R28-R27)/R27</f>
        <v>4.4800452097372288E-2</v>
      </c>
      <c r="R28" s="140">
        <v>6101.06</v>
      </c>
      <c r="S28" s="141">
        <f t="shared" ref="S28:S51" si="24">R28/$R$27</f>
        <v>1.0448004520973724</v>
      </c>
      <c r="T28" s="141"/>
      <c r="U28" s="141"/>
      <c r="V28" s="141"/>
      <c r="W28" s="141"/>
      <c r="X28" s="140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</row>
    <row r="29" spans="1:154" x14ac:dyDescent="0.2">
      <c r="A29" s="2"/>
      <c r="B29" s="2"/>
      <c r="C29" s="2"/>
      <c r="D29" s="8"/>
      <c r="E29" s="8"/>
      <c r="F29" s="3"/>
      <c r="G29" s="3"/>
      <c r="H29" s="61"/>
      <c r="I29" s="1"/>
      <c r="J29" s="1"/>
      <c r="K29" s="14"/>
      <c r="L29" s="14"/>
      <c r="M29" s="141"/>
      <c r="N29" s="141">
        <v>2021</v>
      </c>
      <c r="O29" s="150">
        <f>(P29-P28)/P28</f>
        <v>5.2631578947368418E-2</v>
      </c>
      <c r="P29" s="140">
        <v>1100</v>
      </c>
      <c r="Q29" s="150">
        <f>(R29-R28)/R28</f>
        <v>5.4500365510255479E-2</v>
      </c>
      <c r="R29" s="140">
        <v>6433.57</v>
      </c>
      <c r="S29" s="141">
        <f>R29/$R$27</f>
        <v>1.1017424586219593</v>
      </c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</row>
    <row r="30" spans="1:154" x14ac:dyDescent="0.2">
      <c r="A30" s="2"/>
      <c r="B30" s="2"/>
      <c r="C30" s="2"/>
      <c r="D30" s="8"/>
      <c r="E30" s="8"/>
      <c r="F30" s="3"/>
      <c r="G30" s="3"/>
      <c r="H30" s="3"/>
      <c r="I30" s="1"/>
      <c r="J30" s="1"/>
      <c r="K30" s="14"/>
      <c r="L30" s="14"/>
      <c r="M30" s="141"/>
      <c r="N30" s="141">
        <v>2022</v>
      </c>
      <c r="O30" s="150">
        <f>(P30-P29)/P29</f>
        <v>0.10181818181818182</v>
      </c>
      <c r="P30" s="140">
        <v>1212</v>
      </c>
      <c r="Q30" s="150">
        <f>(R30-R29)/R29</f>
        <v>0.10159988933049623</v>
      </c>
      <c r="R30" s="140">
        <v>7087.22</v>
      </c>
      <c r="S30" s="141">
        <f t="shared" si="24"/>
        <v>1.213679370488659</v>
      </c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</row>
    <row r="31" spans="1:154" x14ac:dyDescent="0.2">
      <c r="A31" s="2"/>
      <c r="B31" s="2"/>
      <c r="C31" s="2"/>
      <c r="D31" s="8"/>
      <c r="E31" s="8"/>
      <c r="F31" s="3"/>
      <c r="G31" s="3"/>
      <c r="H31" s="3"/>
      <c r="I31" s="1"/>
      <c r="J31" s="1"/>
      <c r="K31" s="14"/>
      <c r="L31" s="14"/>
      <c r="M31" s="141"/>
      <c r="N31" s="141">
        <v>2023</v>
      </c>
      <c r="O31" s="150">
        <f>(P31-P30)/P30</f>
        <v>7.4257425742574254E-2</v>
      </c>
      <c r="P31" s="140">
        <v>1302</v>
      </c>
      <c r="Q31" s="150">
        <f>(R31-R30)/R30</f>
        <v>5.9299697201441397E-2</v>
      </c>
      <c r="R31" s="140">
        <v>7507.49</v>
      </c>
      <c r="S31" s="141">
        <f t="shared" si="24"/>
        <v>1.2856501896582726</v>
      </c>
      <c r="T31" s="140"/>
      <c r="U31" s="141"/>
      <c r="V31" s="140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</row>
    <row r="32" spans="1:154" x14ac:dyDescent="0.2">
      <c r="A32" s="2"/>
      <c r="B32" s="2"/>
      <c r="C32" s="2"/>
      <c r="D32" s="3"/>
      <c r="E32" s="3"/>
      <c r="F32" s="3"/>
      <c r="G32" s="3"/>
      <c r="H32" s="3"/>
      <c r="I32" s="1"/>
      <c r="J32" s="1"/>
      <c r="K32" s="14"/>
      <c r="L32" s="14"/>
      <c r="M32" s="152"/>
      <c r="N32" s="152">
        <v>45047</v>
      </c>
      <c r="O32" s="150">
        <f>(P32-P31)/P31</f>
        <v>1.3824884792626729E-2</v>
      </c>
      <c r="P32" s="140">
        <v>1320</v>
      </c>
      <c r="Q32" s="150">
        <f>(R32-R31)/R31</f>
        <v>0</v>
      </c>
      <c r="R32" s="140">
        <v>7507.49</v>
      </c>
      <c r="S32" s="141">
        <f t="shared" si="24"/>
        <v>1.2856501896582726</v>
      </c>
      <c r="T32" s="141"/>
      <c r="U32" s="141"/>
      <c r="V32" s="153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</row>
    <row r="33" spans="1:154" x14ac:dyDescent="0.2">
      <c r="A33" s="2"/>
      <c r="B33" s="2"/>
      <c r="C33" s="2"/>
      <c r="D33" s="3"/>
      <c r="E33" s="3"/>
      <c r="F33" s="3"/>
      <c r="G33" s="3"/>
      <c r="H33" s="3"/>
      <c r="I33" s="1"/>
      <c r="J33" s="1"/>
      <c r="K33" s="14"/>
      <c r="L33" s="14"/>
      <c r="M33" s="141"/>
      <c r="N33" s="141"/>
      <c r="O33" s="154"/>
      <c r="P33" s="141"/>
      <c r="Q33" s="141"/>
      <c r="R33" s="141"/>
      <c r="S33" s="141">
        <f t="shared" si="24"/>
        <v>0</v>
      </c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</row>
    <row r="34" spans="1:154" x14ac:dyDescent="0.2">
      <c r="A34" s="2"/>
      <c r="B34" s="2"/>
      <c r="C34" s="2"/>
      <c r="D34" s="3"/>
      <c r="E34" s="3"/>
      <c r="F34" s="3"/>
      <c r="G34" s="3"/>
      <c r="H34" s="3"/>
      <c r="I34" s="1"/>
      <c r="J34" s="1"/>
      <c r="K34" s="14"/>
      <c r="L34" s="14"/>
      <c r="M34" s="141"/>
      <c r="N34" s="141"/>
      <c r="O34" s="154"/>
      <c r="P34" s="141"/>
      <c r="Q34" s="141"/>
      <c r="R34" s="141"/>
      <c r="S34" s="141">
        <f t="shared" si="24"/>
        <v>0</v>
      </c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</row>
    <row r="35" spans="1:154" x14ac:dyDescent="0.2">
      <c r="A35" s="2"/>
      <c r="B35" s="2"/>
      <c r="C35" s="2"/>
      <c r="D35" s="3"/>
      <c r="E35" s="3"/>
      <c r="F35" s="3"/>
      <c r="G35" s="3"/>
      <c r="H35" s="3"/>
      <c r="I35" s="1"/>
      <c r="J35" s="1"/>
      <c r="K35" s="14"/>
      <c r="L35" s="14"/>
      <c r="M35" s="141"/>
      <c r="N35" s="141"/>
      <c r="O35" s="141"/>
      <c r="P35" s="141"/>
      <c r="Q35" s="141"/>
      <c r="R35" s="141"/>
      <c r="S35" s="141">
        <f t="shared" si="24"/>
        <v>0</v>
      </c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</row>
    <row r="36" spans="1:154" x14ac:dyDescent="0.2">
      <c r="A36" s="2"/>
      <c r="B36" s="2"/>
      <c r="C36" s="2"/>
      <c r="D36" s="3"/>
      <c r="E36" s="3"/>
      <c r="F36" s="3"/>
      <c r="G36" s="3"/>
      <c r="H36" s="3"/>
      <c r="I36" s="1"/>
      <c r="J36" s="1"/>
      <c r="K36" s="14"/>
      <c r="L36" s="14"/>
      <c r="M36" s="141"/>
      <c r="N36" s="141"/>
      <c r="O36" s="141"/>
      <c r="P36" s="141"/>
      <c r="Q36" s="141"/>
      <c r="R36" s="141"/>
      <c r="S36" s="141">
        <f t="shared" si="24"/>
        <v>0</v>
      </c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</row>
    <row r="37" spans="1:154" x14ac:dyDescent="0.2">
      <c r="A37" s="2"/>
      <c r="B37" s="2"/>
      <c r="C37" s="2"/>
      <c r="D37" s="3"/>
      <c r="E37" s="3"/>
      <c r="F37" s="3"/>
      <c r="G37" s="3"/>
      <c r="H37" s="3"/>
      <c r="I37" s="1"/>
      <c r="J37" s="1"/>
      <c r="K37" s="14"/>
      <c r="L37" s="14"/>
      <c r="M37" s="141"/>
      <c r="N37" s="141"/>
      <c r="O37" s="141"/>
      <c r="P37" s="141"/>
      <c r="Q37" s="141"/>
      <c r="R37" s="141"/>
      <c r="S37" s="141">
        <f t="shared" si="24"/>
        <v>0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</row>
    <row r="38" spans="1:154" x14ac:dyDescent="0.2">
      <c r="A38" s="2"/>
      <c r="B38" s="2"/>
      <c r="C38" s="2"/>
      <c r="D38" s="3"/>
      <c r="E38" s="3"/>
      <c r="F38" s="3"/>
      <c r="G38" s="3"/>
      <c r="H38" s="3"/>
      <c r="I38" s="1"/>
      <c r="J38" s="1"/>
      <c r="K38" s="14"/>
      <c r="L38" s="14"/>
      <c r="M38" s="141"/>
      <c r="N38" s="141"/>
      <c r="O38" s="141"/>
      <c r="P38" s="141"/>
      <c r="Q38" s="141"/>
      <c r="R38" s="141"/>
      <c r="S38" s="141">
        <f t="shared" si="24"/>
        <v>0</v>
      </c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</row>
    <row r="39" spans="1:154" x14ac:dyDescent="0.2">
      <c r="A39" s="2"/>
      <c r="B39" s="2"/>
      <c r="C39" s="2"/>
      <c r="D39" s="3"/>
      <c r="E39" s="3"/>
      <c r="F39" s="3"/>
      <c r="G39" s="3"/>
      <c r="H39" s="3"/>
      <c r="I39" s="1"/>
      <c r="J39" s="1"/>
      <c r="K39" s="14"/>
      <c r="L39" s="14"/>
      <c r="M39" s="141"/>
      <c r="N39" s="141"/>
      <c r="O39" s="141"/>
      <c r="P39" s="141"/>
      <c r="Q39" s="141"/>
      <c r="R39" s="141"/>
      <c r="S39" s="141">
        <f t="shared" si="24"/>
        <v>0</v>
      </c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</row>
    <row r="40" spans="1:154" x14ac:dyDescent="0.2">
      <c r="A40" s="2"/>
      <c r="B40" s="2"/>
      <c r="C40" s="2"/>
      <c r="D40" s="3"/>
      <c r="E40" s="3"/>
      <c r="F40" s="3"/>
      <c r="G40" s="3"/>
      <c r="H40" s="3"/>
      <c r="I40" s="1"/>
      <c r="J40" s="1"/>
      <c r="K40" s="14"/>
      <c r="L40" s="14"/>
      <c r="M40" s="141"/>
      <c r="N40" s="141"/>
      <c r="O40" s="141"/>
      <c r="P40" s="141"/>
      <c r="Q40" s="141"/>
      <c r="R40" s="141"/>
      <c r="S40" s="141">
        <f t="shared" si="24"/>
        <v>0</v>
      </c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</row>
    <row r="41" spans="1:154" x14ac:dyDescent="0.2">
      <c r="A41" s="2"/>
      <c r="B41" s="2"/>
      <c r="C41" s="2"/>
      <c r="D41" s="3"/>
      <c r="E41" s="3"/>
      <c r="F41" s="3"/>
      <c r="G41" s="3"/>
      <c r="H41" s="3"/>
      <c r="I41" s="1"/>
      <c r="J41" s="1"/>
      <c r="K41" s="14"/>
      <c r="L41" s="14"/>
      <c r="M41" s="141"/>
      <c r="N41" s="141"/>
      <c r="O41" s="141"/>
      <c r="P41" s="141"/>
      <c r="Q41" s="141"/>
      <c r="R41" s="141"/>
      <c r="S41" s="141">
        <f t="shared" si="24"/>
        <v>0</v>
      </c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</row>
    <row r="42" spans="1:154" x14ac:dyDescent="0.2">
      <c r="A42" s="2"/>
      <c r="B42" s="2"/>
      <c r="C42" s="2"/>
      <c r="D42" s="3"/>
      <c r="E42" s="3"/>
      <c r="F42" s="3"/>
      <c r="G42" s="3"/>
      <c r="H42" s="3"/>
      <c r="I42" s="1"/>
      <c r="J42" s="1"/>
      <c r="K42" s="14"/>
      <c r="L42" s="14"/>
      <c r="M42" s="141"/>
      <c r="N42" s="141"/>
      <c r="O42" s="141"/>
      <c r="P42" s="141"/>
      <c r="Q42" s="141"/>
      <c r="R42" s="141"/>
      <c r="S42" s="141">
        <f t="shared" si="24"/>
        <v>0</v>
      </c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</row>
    <row r="43" spans="1:154" x14ac:dyDescent="0.2">
      <c r="A43" s="2"/>
      <c r="B43" s="2"/>
      <c r="C43" s="2"/>
      <c r="D43" s="3"/>
      <c r="E43" s="3"/>
      <c r="F43" s="3"/>
      <c r="G43" s="3"/>
      <c r="H43" s="3"/>
      <c r="I43" s="1"/>
      <c r="J43" s="1"/>
      <c r="K43" s="14"/>
      <c r="L43" s="14"/>
      <c r="M43" s="141"/>
      <c r="N43" s="141"/>
      <c r="O43" s="141"/>
      <c r="P43" s="141"/>
      <c r="Q43" s="141"/>
      <c r="R43" s="141"/>
      <c r="S43" s="141">
        <f t="shared" si="24"/>
        <v>0</v>
      </c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</row>
    <row r="44" spans="1:154" x14ac:dyDescent="0.2">
      <c r="A44" s="2"/>
      <c r="B44" s="2"/>
      <c r="C44" s="2"/>
      <c r="D44" s="3"/>
      <c r="E44" s="3"/>
      <c r="F44" s="3"/>
      <c r="G44" s="3"/>
      <c r="H44" s="3"/>
      <c r="I44" s="1"/>
      <c r="J44" s="1"/>
      <c r="K44" s="14"/>
      <c r="L44" s="14"/>
      <c r="M44" s="141"/>
      <c r="N44" s="141"/>
      <c r="O44" s="141"/>
      <c r="P44" s="141"/>
      <c r="Q44" s="141"/>
      <c r="R44" s="141"/>
      <c r="S44" s="141">
        <f t="shared" si="24"/>
        <v>0</v>
      </c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</row>
    <row r="45" spans="1:154" x14ac:dyDescent="0.2">
      <c r="A45" s="2"/>
      <c r="B45" s="2"/>
      <c r="C45" s="2"/>
      <c r="D45" s="3"/>
      <c r="E45" s="3"/>
      <c r="F45" s="3"/>
      <c r="G45" s="3"/>
      <c r="H45" s="3"/>
      <c r="I45" s="1"/>
      <c r="J45" s="1"/>
      <c r="K45" s="14"/>
      <c r="L45" s="14"/>
      <c r="M45" s="29"/>
      <c r="N45" s="29"/>
      <c r="O45" s="29"/>
      <c r="P45" s="29"/>
      <c r="Q45" s="29"/>
      <c r="R45" s="29"/>
      <c r="S45" s="29">
        <f t="shared" si="24"/>
        <v>0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</row>
    <row r="46" spans="1:154" x14ac:dyDescent="0.2">
      <c r="A46" s="2"/>
      <c r="B46" s="2"/>
      <c r="C46" s="2"/>
      <c r="D46" s="3"/>
      <c r="E46" s="3"/>
      <c r="F46" s="3"/>
      <c r="G46" s="3"/>
      <c r="H46" s="3"/>
      <c r="I46" s="1"/>
      <c r="J46" s="1"/>
      <c r="K46" s="14"/>
      <c r="L46" s="14"/>
      <c r="M46" s="29"/>
      <c r="N46" s="29"/>
      <c r="O46" s="29"/>
      <c r="P46" s="29"/>
      <c r="Q46" s="29"/>
      <c r="R46" s="29"/>
      <c r="S46" s="29">
        <f t="shared" si="24"/>
        <v>0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</row>
    <row r="47" spans="1:154" x14ac:dyDescent="0.2">
      <c r="A47" s="2"/>
      <c r="B47" s="2"/>
      <c r="C47" s="2"/>
      <c r="D47" s="3"/>
      <c r="E47" s="3"/>
      <c r="F47" s="3"/>
      <c r="G47" s="3"/>
      <c r="H47" s="3"/>
      <c r="I47" s="1"/>
      <c r="J47" s="1"/>
      <c r="K47" s="14"/>
      <c r="L47" s="14"/>
      <c r="M47" s="29"/>
      <c r="N47" s="29"/>
      <c r="O47" s="29"/>
      <c r="P47" s="29"/>
      <c r="Q47" s="29"/>
      <c r="R47" s="29"/>
      <c r="S47" s="29">
        <f t="shared" si="24"/>
        <v>0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</row>
    <row r="48" spans="1:154" x14ac:dyDescent="0.2">
      <c r="A48" s="2"/>
      <c r="B48" s="2"/>
      <c r="C48" s="2"/>
      <c r="D48" s="3"/>
      <c r="E48" s="3"/>
      <c r="F48" s="3"/>
      <c r="G48" s="3"/>
      <c r="H48" s="3"/>
      <c r="I48" s="1"/>
      <c r="J48" s="1"/>
      <c r="K48" s="14"/>
      <c r="L48" s="14"/>
      <c r="M48" s="29"/>
      <c r="N48" s="29"/>
      <c r="O48" s="29"/>
      <c r="P48" s="29"/>
      <c r="Q48" s="29"/>
      <c r="R48" s="29"/>
      <c r="S48" s="29">
        <f t="shared" si="24"/>
        <v>0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</row>
    <row r="49" spans="1:147" x14ac:dyDescent="0.2">
      <c r="A49" s="2"/>
      <c r="B49" s="2"/>
      <c r="C49" s="2"/>
      <c r="D49" s="3"/>
      <c r="E49" s="3"/>
      <c r="F49" s="3"/>
      <c r="G49" s="3"/>
      <c r="H49" s="3"/>
      <c r="I49" s="1"/>
      <c r="J49" s="1"/>
      <c r="K49" s="14"/>
      <c r="L49" s="14"/>
      <c r="M49" s="29"/>
      <c r="N49" s="29"/>
      <c r="O49" s="29"/>
      <c r="P49" s="29"/>
      <c r="Q49" s="29"/>
      <c r="R49" s="29"/>
      <c r="S49" s="29">
        <f t="shared" si="24"/>
        <v>0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</row>
    <row r="50" spans="1:147" x14ac:dyDescent="0.2">
      <c r="A50" s="2"/>
      <c r="B50" s="2"/>
      <c r="C50" s="2"/>
      <c r="D50" s="3"/>
      <c r="E50" s="3"/>
      <c r="F50" s="3"/>
      <c r="G50" s="3"/>
      <c r="H50" s="3"/>
      <c r="I50" s="1"/>
      <c r="J50" s="1"/>
      <c r="K50" s="14"/>
      <c r="L50" s="14"/>
      <c r="M50" s="29"/>
      <c r="N50" s="29"/>
      <c r="O50" s="29"/>
      <c r="P50" s="29"/>
      <c r="Q50" s="29"/>
      <c r="R50" s="29"/>
      <c r="S50" s="29">
        <f t="shared" si="24"/>
        <v>0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</row>
    <row r="51" spans="1:147" x14ac:dyDescent="0.2">
      <c r="A51" s="2"/>
      <c r="B51" s="2"/>
      <c r="C51" s="2"/>
      <c r="D51" s="3"/>
      <c r="E51" s="3"/>
      <c r="F51" s="3"/>
      <c r="G51" s="3"/>
      <c r="H51" s="3"/>
      <c r="I51" s="1"/>
      <c r="J51" s="1"/>
      <c r="K51" s="14"/>
      <c r="L51" s="14"/>
      <c r="M51" s="29"/>
      <c r="N51" s="29"/>
      <c r="O51" s="29"/>
      <c r="P51" s="29"/>
      <c r="Q51" s="29"/>
      <c r="R51" s="29"/>
      <c r="S51" s="29">
        <f t="shared" si="24"/>
        <v>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</row>
    <row r="52" spans="1:147" x14ac:dyDescent="0.2">
      <c r="A52" s="2"/>
      <c r="B52" s="2"/>
      <c r="C52" s="2"/>
      <c r="D52" s="3"/>
      <c r="E52" s="3"/>
      <c r="F52" s="3"/>
      <c r="G52" s="3"/>
      <c r="H52" s="3"/>
      <c r="I52" s="1"/>
      <c r="J52" s="1"/>
      <c r="K52" s="14"/>
      <c r="L52" s="14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</row>
    <row r="53" spans="1:147" x14ac:dyDescent="0.2">
      <c r="A53" s="2"/>
      <c r="B53" s="2"/>
      <c r="C53" s="2"/>
      <c r="D53" s="3"/>
      <c r="E53" s="3"/>
      <c r="F53" s="3"/>
      <c r="G53" s="3"/>
      <c r="H53" s="3"/>
      <c r="I53" s="1"/>
      <c r="J53" s="1"/>
      <c r="K53" s="14"/>
      <c r="L53" s="14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</row>
    <row r="54" spans="1:147" x14ac:dyDescent="0.2">
      <c r="A54" s="2"/>
      <c r="B54" s="2"/>
      <c r="C54" s="2"/>
      <c r="D54" s="3"/>
      <c r="E54" s="3"/>
      <c r="F54" s="3"/>
      <c r="G54" s="3"/>
      <c r="H54" s="3"/>
      <c r="I54" s="1"/>
      <c r="J54" s="1"/>
      <c r="K54" s="14"/>
      <c r="L54" s="14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</row>
    <row r="55" spans="1:147" x14ac:dyDescent="0.2">
      <c r="A55" s="2"/>
      <c r="B55" s="2"/>
      <c r="C55" s="2"/>
      <c r="D55" s="3"/>
      <c r="E55" s="3"/>
      <c r="F55" s="3"/>
      <c r="G55" s="3"/>
      <c r="H55" s="3"/>
      <c r="I55" s="1"/>
      <c r="J55" s="1"/>
      <c r="K55" s="14"/>
      <c r="L55" s="14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</row>
    <row r="56" spans="1:147" x14ac:dyDescent="0.2">
      <c r="A56" s="2"/>
      <c r="B56" s="2"/>
      <c r="C56" s="2"/>
      <c r="D56" s="3"/>
      <c r="E56" s="3"/>
      <c r="F56" s="3"/>
      <c r="G56" s="3"/>
      <c r="H56" s="3"/>
      <c r="I56" s="1"/>
      <c r="J56" s="1"/>
      <c r="K56" s="14"/>
      <c r="L56" s="14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</row>
    <row r="57" spans="1:147" x14ac:dyDescent="0.2">
      <c r="A57" s="2"/>
      <c r="B57" s="2"/>
      <c r="C57" s="2"/>
      <c r="D57" s="3"/>
      <c r="E57" s="3"/>
      <c r="F57" s="3"/>
      <c r="G57" s="3"/>
      <c r="H57" s="3"/>
      <c r="I57" s="1"/>
      <c r="J57" s="1"/>
      <c r="K57" s="14"/>
      <c r="L57" s="14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</row>
    <row r="58" spans="1:147" x14ac:dyDescent="0.2">
      <c r="A58" s="2"/>
      <c r="B58" s="2"/>
      <c r="C58" s="2"/>
      <c r="D58" s="3"/>
      <c r="E58" s="3"/>
      <c r="F58" s="3"/>
      <c r="G58" s="3"/>
      <c r="H58" s="3"/>
      <c r="I58" s="1"/>
      <c r="J58" s="1"/>
      <c r="K58" s="14"/>
      <c r="L58" s="14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</row>
    <row r="59" spans="1:147" x14ac:dyDescent="0.2">
      <c r="A59" s="2"/>
      <c r="B59" s="2"/>
      <c r="C59" s="2"/>
      <c r="D59" s="3"/>
      <c r="E59" s="3"/>
      <c r="F59" s="3"/>
      <c r="G59" s="3"/>
      <c r="H59" s="3"/>
      <c r="I59" s="1"/>
      <c r="J59" s="1"/>
      <c r="K59" s="14"/>
      <c r="L59" s="14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</row>
    <row r="60" spans="1:147" x14ac:dyDescent="0.2">
      <c r="A60" s="2"/>
      <c r="B60" s="2"/>
      <c r="C60" s="2"/>
      <c r="D60" s="3"/>
      <c r="E60" s="3"/>
      <c r="F60" s="3"/>
      <c r="G60" s="3"/>
      <c r="H60" s="3"/>
      <c r="I60" s="1"/>
      <c r="J60" s="1"/>
      <c r="K60" s="14"/>
      <c r="L60" s="14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</row>
    <row r="61" spans="1:147" x14ac:dyDescent="0.2">
      <c r="A61" s="2"/>
      <c r="B61" s="2"/>
      <c r="C61" s="2"/>
      <c r="D61" s="3"/>
      <c r="E61" s="3"/>
      <c r="F61" s="3"/>
      <c r="G61" s="3"/>
      <c r="H61" s="3"/>
      <c r="I61" s="1"/>
      <c r="J61" s="1"/>
      <c r="K61" s="14"/>
      <c r="L61" s="14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</row>
    <row r="62" spans="1:147" x14ac:dyDescent="0.2">
      <c r="A62" s="2"/>
      <c r="B62" s="2"/>
      <c r="C62" s="2"/>
      <c r="D62" s="3"/>
      <c r="E62" s="3"/>
      <c r="F62" s="3"/>
      <c r="G62" s="3"/>
      <c r="H62" s="3"/>
      <c r="I62" s="1"/>
      <c r="J62" s="1"/>
      <c r="K62" s="14"/>
      <c r="L62" s="14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</row>
    <row r="63" spans="1:147" x14ac:dyDescent="0.2">
      <c r="A63" s="2"/>
      <c r="B63" s="2"/>
      <c r="C63" s="2"/>
      <c r="D63" s="3"/>
      <c r="E63" s="3"/>
      <c r="F63" s="3"/>
      <c r="G63" s="3"/>
      <c r="H63" s="3"/>
      <c r="I63" s="1"/>
      <c r="J63" s="1"/>
      <c r="K63" s="14"/>
      <c r="L63" s="14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</row>
    <row r="64" spans="1:147" x14ac:dyDescent="0.2">
      <c r="A64" s="2"/>
      <c r="B64" s="2"/>
      <c r="C64" s="2"/>
      <c r="D64" s="3"/>
      <c r="E64" s="3"/>
      <c r="F64" s="3"/>
      <c r="G64" s="3"/>
      <c r="H64" s="3"/>
      <c r="I64" s="1"/>
      <c r="J64" s="1"/>
      <c r="K64" s="14"/>
      <c r="L64" s="14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</row>
    <row r="65" spans="1:147" x14ac:dyDescent="0.2">
      <c r="A65" s="2"/>
      <c r="B65" s="2"/>
      <c r="C65" s="2"/>
      <c r="D65" s="3"/>
      <c r="E65" s="3"/>
      <c r="F65" s="3"/>
      <c r="G65" s="3"/>
      <c r="H65" s="3"/>
      <c r="I65" s="1"/>
      <c r="J65" s="1"/>
      <c r="K65" s="14"/>
      <c r="L65" s="14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</row>
    <row r="66" spans="1:147" x14ac:dyDescent="0.2">
      <c r="A66" s="2"/>
      <c r="B66" s="2"/>
      <c r="C66" s="2"/>
      <c r="D66" s="3"/>
      <c r="E66" s="3"/>
      <c r="F66" s="3"/>
      <c r="G66" s="3"/>
      <c r="H66" s="3"/>
      <c r="I66" s="1"/>
      <c r="J66" s="1"/>
      <c r="K66" s="14"/>
      <c r="L66" s="14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</row>
    <row r="67" spans="1:147" x14ac:dyDescent="0.2">
      <c r="A67" s="2"/>
      <c r="B67" s="2"/>
      <c r="C67" s="2"/>
      <c r="D67" s="3"/>
      <c r="E67" s="3"/>
      <c r="F67" s="3"/>
      <c r="G67" s="3"/>
      <c r="H67" s="3"/>
      <c r="I67" s="1"/>
      <c r="J67" s="1"/>
      <c r="K67" s="14"/>
      <c r="L67" s="14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</row>
    <row r="68" spans="1:147" x14ac:dyDescent="0.2">
      <c r="A68" s="2"/>
      <c r="B68" s="2"/>
      <c r="C68" s="2"/>
      <c r="D68" s="3"/>
      <c r="E68" s="3"/>
      <c r="F68" s="1"/>
      <c r="G68" s="1"/>
      <c r="H68" s="1"/>
      <c r="I68" s="1"/>
      <c r="J68" s="1"/>
      <c r="K68" s="14"/>
      <c r="L68" s="14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</row>
    <row r="69" spans="1:147" x14ac:dyDescent="0.2">
      <c r="A69" s="2"/>
      <c r="B69" s="2"/>
      <c r="C69" s="2"/>
      <c r="D69" s="3"/>
      <c r="E69" s="3"/>
      <c r="F69" s="1"/>
      <c r="G69" s="1"/>
      <c r="H69" s="1"/>
      <c r="I69" s="1"/>
      <c r="J69" s="1"/>
      <c r="K69" s="14"/>
      <c r="L69" s="14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</row>
    <row r="70" spans="1:147" x14ac:dyDescent="0.2">
      <c r="A70" s="2"/>
      <c r="B70" s="2"/>
      <c r="C70" s="2"/>
      <c r="D70" s="3"/>
      <c r="E70" s="3"/>
      <c r="F70" s="1"/>
      <c r="G70" s="1"/>
      <c r="H70" s="1"/>
      <c r="I70" s="1"/>
      <c r="J70" s="1"/>
      <c r="K70" s="14"/>
      <c r="L70" s="14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</row>
    <row r="71" spans="1:147" x14ac:dyDescent="0.2">
      <c r="A71" s="2"/>
      <c r="B71" s="2"/>
      <c r="C71" s="2"/>
      <c r="D71" s="3"/>
      <c r="E71" s="3"/>
      <c r="F71" s="1"/>
      <c r="G71" s="1"/>
      <c r="H71" s="1"/>
      <c r="I71" s="1"/>
      <c r="J71" s="1"/>
      <c r="K71" s="14"/>
      <c r="L71" s="14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</row>
    <row r="72" spans="1:147" x14ac:dyDescent="0.2">
      <c r="D72" s="1"/>
      <c r="E72" s="1"/>
      <c r="F72" s="1"/>
      <c r="G72" s="1"/>
      <c r="H72" s="1"/>
      <c r="I72" s="1"/>
      <c r="J72" s="1"/>
      <c r="K72" s="14"/>
      <c r="L72" s="14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</row>
    <row r="73" spans="1:147" x14ac:dyDescent="0.2">
      <c r="D73" s="1"/>
      <c r="E73" s="1"/>
      <c r="F73" s="1"/>
      <c r="G73" s="1"/>
      <c r="H73" s="1"/>
      <c r="I73" s="1"/>
      <c r="J73" s="1"/>
      <c r="K73" s="14"/>
      <c r="L73" s="14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</row>
    <row r="74" spans="1:147" x14ac:dyDescent="0.2">
      <c r="D74" s="1"/>
      <c r="E74" s="1"/>
      <c r="F74" s="1"/>
      <c r="G74" s="1"/>
      <c r="H74" s="1"/>
      <c r="I74" s="1"/>
      <c r="J74" s="1"/>
      <c r="K74" s="14"/>
      <c r="L74" s="14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</row>
    <row r="75" spans="1:147" x14ac:dyDescent="0.2">
      <c r="D75" s="1"/>
      <c r="E75" s="1"/>
      <c r="F75" s="1"/>
      <c r="G75" s="1"/>
      <c r="H75" s="1"/>
      <c r="I75" s="1"/>
      <c r="J75" s="1"/>
      <c r="K75" s="14"/>
      <c r="L75" s="14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</row>
    <row r="76" spans="1:147" x14ac:dyDescent="0.2">
      <c r="D76" s="1"/>
      <c r="E76" s="1"/>
      <c r="F76" s="1"/>
      <c r="G76" s="1"/>
      <c r="H76" s="1"/>
      <c r="I76" s="1"/>
      <c r="J76" s="1"/>
      <c r="K76" s="14"/>
      <c r="L76" s="1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</row>
    <row r="77" spans="1:147" x14ac:dyDescent="0.2">
      <c r="D77" s="1"/>
      <c r="E77" s="1"/>
      <c r="F77" s="1"/>
      <c r="G77" s="1"/>
      <c r="H77" s="1"/>
      <c r="I77" s="1"/>
      <c r="J77" s="1"/>
      <c r="K77" s="14"/>
      <c r="L77" s="14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</row>
    <row r="78" spans="1:147" x14ac:dyDescent="0.2">
      <c r="D78" s="1"/>
      <c r="E78" s="1"/>
      <c r="F78" s="1"/>
      <c r="G78" s="1"/>
      <c r="H78" s="1"/>
      <c r="I78" s="1"/>
      <c r="J78" s="1"/>
      <c r="K78" s="14"/>
      <c r="L78" s="14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</row>
    <row r="79" spans="1:147" x14ac:dyDescent="0.2">
      <c r="D79" s="1"/>
      <c r="E79" s="1"/>
      <c r="F79" s="1"/>
      <c r="G79" s="1"/>
      <c r="H79" s="1"/>
      <c r="I79" s="1"/>
      <c r="J79" s="1"/>
      <c r="K79" s="14"/>
      <c r="L79" s="14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</row>
    <row r="80" spans="1:147" x14ac:dyDescent="0.2">
      <c r="D80" s="1"/>
      <c r="E80" s="1"/>
      <c r="F80" s="1"/>
      <c r="G80" s="1"/>
      <c r="H80" s="1"/>
      <c r="I80" s="1"/>
      <c r="J80" s="1"/>
      <c r="K80" s="14"/>
      <c r="L80" s="14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</row>
    <row r="81" spans="4:77" x14ac:dyDescent="0.2">
      <c r="D81" s="1"/>
      <c r="E81" s="1"/>
      <c r="F81" s="1"/>
      <c r="G81" s="1"/>
      <c r="H81" s="1"/>
      <c r="I81" s="1"/>
      <c r="J81" s="1"/>
      <c r="K81" s="14"/>
      <c r="L81" s="14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</row>
    <row r="82" spans="4:77" x14ac:dyDescent="0.2">
      <c r="D82" s="1"/>
      <c r="E82" s="1"/>
      <c r="F82" s="1"/>
      <c r="G82" s="1"/>
      <c r="H82" s="1"/>
      <c r="I82" s="1"/>
      <c r="J82" s="1"/>
      <c r="K82" s="14"/>
      <c r="L82" s="14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</row>
    <row r="83" spans="4:77" x14ac:dyDescent="0.2">
      <c r="D83" s="1"/>
      <c r="E83" s="1"/>
      <c r="F83" s="1"/>
      <c r="G83" s="1"/>
      <c r="H83" s="1"/>
      <c r="I83" s="1"/>
      <c r="J83" s="1"/>
      <c r="K83" s="14"/>
      <c r="L83" s="14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4:77" x14ac:dyDescent="0.2">
      <c r="D84" s="1"/>
      <c r="E84" s="1"/>
      <c r="F84" s="1"/>
      <c r="G84" s="1"/>
      <c r="H84" s="1"/>
      <c r="I84" s="1"/>
      <c r="J84" s="1"/>
      <c r="K84" s="14"/>
      <c r="L84" s="14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</row>
    <row r="85" spans="4:77" x14ac:dyDescent="0.2">
      <c r="D85" s="1"/>
      <c r="E85" s="1"/>
      <c r="F85" s="1"/>
      <c r="G85" s="1"/>
      <c r="H85" s="1"/>
      <c r="I85" s="1"/>
      <c r="J85" s="1"/>
      <c r="K85" s="14"/>
      <c r="L85" s="14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</row>
    <row r="86" spans="4:77" x14ac:dyDescent="0.2">
      <c r="D86" s="1"/>
      <c r="E86" s="1"/>
      <c r="F86" s="1"/>
      <c r="G86" s="1"/>
      <c r="H86" s="1"/>
      <c r="I86" s="1"/>
      <c r="J86" s="1"/>
      <c r="K86" s="14"/>
      <c r="L86" s="14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</row>
    <row r="87" spans="4:77" x14ac:dyDescent="0.2">
      <c r="D87" s="1"/>
      <c r="E87" s="1"/>
      <c r="F87" s="1"/>
      <c r="G87" s="1"/>
      <c r="H87" s="1"/>
      <c r="I87" s="1"/>
      <c r="J87" s="1"/>
      <c r="K87" s="14"/>
      <c r="L87" s="14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</row>
    <row r="88" spans="4:77" x14ac:dyDescent="0.2">
      <c r="D88" s="1"/>
      <c r="E88" s="1"/>
      <c r="F88" s="1"/>
      <c r="G88" s="1"/>
      <c r="H88" s="1"/>
      <c r="I88" s="1"/>
      <c r="J88" s="1"/>
      <c r="K88" s="14"/>
      <c r="L88" s="14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</row>
    <row r="89" spans="4:77" x14ac:dyDescent="0.2">
      <c r="D89" s="1"/>
      <c r="E89" s="1"/>
      <c r="F89" s="1"/>
      <c r="G89" s="1"/>
      <c r="H89" s="1"/>
      <c r="I89" s="1"/>
      <c r="J89" s="1"/>
      <c r="K89" s="14"/>
      <c r="L89" s="14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4:77" x14ac:dyDescent="0.2">
      <c r="D90" s="1"/>
      <c r="E90" s="1"/>
      <c r="F90" s="1"/>
      <c r="G90" s="1"/>
      <c r="H90" s="1"/>
      <c r="I90" s="1"/>
      <c r="J90" s="1"/>
      <c r="K90" s="14"/>
      <c r="L90" s="1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</row>
    <row r="91" spans="4:77" x14ac:dyDescent="0.2">
      <c r="D91" s="1"/>
      <c r="E91" s="1"/>
      <c r="F91" s="1"/>
      <c r="G91" s="1"/>
      <c r="H91" s="1"/>
      <c r="I91" s="1"/>
      <c r="J91" s="1"/>
      <c r="K91" s="14"/>
      <c r="L91" s="14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</row>
    <row r="92" spans="4:77" x14ac:dyDescent="0.2">
      <c r="D92" s="1"/>
      <c r="E92" s="1"/>
      <c r="F92" s="1"/>
      <c r="G92" s="1"/>
      <c r="H92" s="1"/>
      <c r="I92" s="1"/>
      <c r="J92" s="1"/>
      <c r="K92" s="14"/>
      <c r="L92" s="14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</row>
    <row r="93" spans="4:77" x14ac:dyDescent="0.2">
      <c r="D93" s="1"/>
      <c r="E93" s="1"/>
      <c r="F93" s="1"/>
      <c r="G93" s="1"/>
      <c r="H93" s="1"/>
      <c r="I93" s="1"/>
      <c r="J93" s="1"/>
      <c r="K93" s="14"/>
      <c r="L93" s="14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</row>
    <row r="94" spans="4:77" x14ac:dyDescent="0.2">
      <c r="D94" s="1"/>
      <c r="E94" s="1"/>
      <c r="F94" s="1"/>
      <c r="G94" s="1"/>
      <c r="H94" s="1"/>
      <c r="I94" s="1"/>
      <c r="J94" s="1"/>
      <c r="K94" s="14"/>
      <c r="L94" s="1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</row>
    <row r="95" spans="4:77" x14ac:dyDescent="0.2">
      <c r="D95" s="1"/>
      <c r="E95" s="1"/>
      <c r="I95" s="1"/>
      <c r="J95" s="1"/>
      <c r="K95" s="14"/>
      <c r="L95" s="14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</row>
    <row r="96" spans="4:77" x14ac:dyDescent="0.2">
      <c r="D96" s="1"/>
      <c r="E96" s="1"/>
      <c r="I96" s="1"/>
      <c r="J96" s="1"/>
      <c r="K96" s="14"/>
      <c r="L96" s="14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</row>
    <row r="97" spans="4:77" x14ac:dyDescent="0.2">
      <c r="D97" s="1"/>
      <c r="E97" s="1"/>
      <c r="I97" s="1"/>
      <c r="J97" s="1"/>
      <c r="K97" s="14"/>
      <c r="L97" s="14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</row>
    <row r="98" spans="4:77" x14ac:dyDescent="0.2">
      <c r="D98" s="1"/>
      <c r="E98" s="1"/>
      <c r="I98" s="29"/>
      <c r="J98" s="29"/>
      <c r="K98" s="32"/>
      <c r="L98" s="14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</row>
    <row r="99" spans="4:77" x14ac:dyDescent="0.2">
      <c r="I99" s="29"/>
      <c r="J99" s="29"/>
      <c r="K99" s="32"/>
      <c r="L99" s="3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</row>
    <row r="100" spans="4:77" x14ac:dyDescent="0.2"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</row>
    <row r="101" spans="4:77" x14ac:dyDescent="0.2"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</row>
    <row r="102" spans="4:77" x14ac:dyDescent="0.2"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</row>
    <row r="103" spans="4:77" x14ac:dyDescent="0.2"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</row>
    <row r="104" spans="4:77" x14ac:dyDescent="0.2"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</row>
    <row r="105" spans="4:77" x14ac:dyDescent="0.2"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</row>
    <row r="106" spans="4:77" x14ac:dyDescent="0.2"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</row>
    <row r="107" spans="4:77" x14ac:dyDescent="0.2"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</row>
    <row r="108" spans="4:77" x14ac:dyDescent="0.2"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</row>
    <row r="109" spans="4:77" x14ac:dyDescent="0.2"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</row>
    <row r="110" spans="4:77" x14ac:dyDescent="0.2"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</row>
    <row r="111" spans="4:77" x14ac:dyDescent="0.2"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</row>
    <row r="112" spans="4:77" x14ac:dyDescent="0.2"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</row>
    <row r="113" spans="13:62" x14ac:dyDescent="0.2"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</row>
    <row r="114" spans="13:62" x14ac:dyDescent="0.2"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</row>
    <row r="115" spans="13:62" x14ac:dyDescent="0.2"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</row>
    <row r="116" spans="13:62" x14ac:dyDescent="0.2"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</row>
    <row r="117" spans="13:62" x14ac:dyDescent="0.2"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13:62" x14ac:dyDescent="0.2">
      <c r="S118" s="3"/>
    </row>
    <row r="119" spans="13:62" x14ac:dyDescent="0.2">
      <c r="S119" s="3"/>
    </row>
    <row r="120" spans="13:62" x14ac:dyDescent="0.2">
      <c r="S120" s="3"/>
    </row>
    <row r="121" spans="13:62" x14ac:dyDescent="0.2">
      <c r="S121" s="3"/>
    </row>
    <row r="122" spans="13:62" x14ac:dyDescent="0.2">
      <c r="S122" s="3"/>
    </row>
    <row r="123" spans="13:62" x14ac:dyDescent="0.2">
      <c r="S123" s="3"/>
    </row>
    <row r="124" spans="13:62" x14ac:dyDescent="0.2">
      <c r="S124" s="3"/>
    </row>
    <row r="125" spans="13:62" x14ac:dyDescent="0.2">
      <c r="S125" s="3"/>
    </row>
    <row r="126" spans="13:62" x14ac:dyDescent="0.2">
      <c r="S126" s="3"/>
    </row>
    <row r="127" spans="13:62" x14ac:dyDescent="0.2">
      <c r="S127" s="3"/>
    </row>
    <row r="128" spans="13:62" x14ac:dyDescent="0.2">
      <c r="S128" s="3"/>
    </row>
    <row r="129" spans="19:19" x14ac:dyDescent="0.2">
      <c r="S129" s="3"/>
    </row>
    <row r="130" spans="19:19" x14ac:dyDescent="0.2">
      <c r="S130" s="3"/>
    </row>
    <row r="131" spans="19:19" x14ac:dyDescent="0.2">
      <c r="S131" s="3"/>
    </row>
    <row r="132" spans="19:19" x14ac:dyDescent="0.2">
      <c r="S132" s="3"/>
    </row>
    <row r="133" spans="19:19" x14ac:dyDescent="0.2">
      <c r="S133" s="3"/>
    </row>
    <row r="134" spans="19:19" x14ac:dyDescent="0.2">
      <c r="S134" s="3"/>
    </row>
    <row r="135" spans="19:19" x14ac:dyDescent="0.2">
      <c r="S135" s="3"/>
    </row>
    <row r="136" spans="19:19" x14ac:dyDescent="0.2">
      <c r="S136" s="3"/>
    </row>
    <row r="137" spans="19:19" x14ac:dyDescent="0.2">
      <c r="S137" s="3"/>
    </row>
    <row r="138" spans="19:19" x14ac:dyDescent="0.2">
      <c r="S138" s="3"/>
    </row>
    <row r="139" spans="19:19" x14ac:dyDescent="0.2">
      <c r="S139" s="3"/>
    </row>
    <row r="140" spans="19:19" x14ac:dyDescent="0.2">
      <c r="S140" s="3"/>
    </row>
    <row r="141" spans="19:19" x14ac:dyDescent="0.2">
      <c r="S141" s="3"/>
    </row>
    <row r="142" spans="19:19" x14ac:dyDescent="0.2">
      <c r="S142" s="3"/>
    </row>
    <row r="143" spans="19:19" x14ac:dyDescent="0.2">
      <c r="S143" s="3"/>
    </row>
    <row r="144" spans="19:19" x14ac:dyDescent="0.2">
      <c r="S144" s="3"/>
    </row>
    <row r="145" spans="19:19" x14ac:dyDescent="0.2">
      <c r="S145" s="3"/>
    </row>
    <row r="146" spans="19:19" x14ac:dyDescent="0.2">
      <c r="S146" s="3"/>
    </row>
    <row r="147" spans="19:19" x14ac:dyDescent="0.2">
      <c r="S147" s="3"/>
    </row>
    <row r="148" spans="19:19" x14ac:dyDescent="0.2">
      <c r="S148" s="3"/>
    </row>
    <row r="149" spans="19:19" x14ac:dyDescent="0.2">
      <c r="S149" s="3"/>
    </row>
    <row r="150" spans="19:19" x14ac:dyDescent="0.2">
      <c r="S150" s="3"/>
    </row>
    <row r="151" spans="19:19" x14ac:dyDescent="0.2">
      <c r="S151" s="3"/>
    </row>
    <row r="152" spans="19:19" x14ac:dyDescent="0.2">
      <c r="S152" s="3"/>
    </row>
    <row r="153" spans="19:19" x14ac:dyDescent="0.2">
      <c r="S153" s="3"/>
    </row>
    <row r="154" spans="19:19" x14ac:dyDescent="0.2">
      <c r="S154" s="3"/>
    </row>
    <row r="155" spans="19:19" x14ac:dyDescent="0.2">
      <c r="S155" s="3"/>
    </row>
    <row r="156" spans="19:19" x14ac:dyDescent="0.2">
      <c r="S156" s="3"/>
    </row>
    <row r="157" spans="19:19" x14ac:dyDescent="0.2">
      <c r="S157" s="3"/>
    </row>
    <row r="158" spans="19:19" x14ac:dyDescent="0.2">
      <c r="S158" s="3"/>
    </row>
    <row r="159" spans="19:19" x14ac:dyDescent="0.2">
      <c r="S159" s="3"/>
    </row>
    <row r="160" spans="19:19" x14ac:dyDescent="0.2">
      <c r="S160" s="3"/>
    </row>
    <row r="161" spans="19:19" x14ac:dyDescent="0.2">
      <c r="S161" s="3"/>
    </row>
    <row r="162" spans="19:19" x14ac:dyDescent="0.2">
      <c r="S162" s="3"/>
    </row>
    <row r="163" spans="19:19" x14ac:dyDescent="0.2">
      <c r="S163" s="3"/>
    </row>
    <row r="164" spans="19:19" x14ac:dyDescent="0.2">
      <c r="S164" s="3"/>
    </row>
    <row r="165" spans="19:19" x14ac:dyDescent="0.2">
      <c r="S165" s="3"/>
    </row>
    <row r="166" spans="19:19" x14ac:dyDescent="0.2">
      <c r="S166" s="3"/>
    </row>
    <row r="167" spans="19:19" x14ac:dyDescent="0.2">
      <c r="S167" s="3"/>
    </row>
    <row r="168" spans="19:19" x14ac:dyDescent="0.2">
      <c r="S168" s="3"/>
    </row>
    <row r="169" spans="19:19" x14ac:dyDescent="0.2">
      <c r="S169" s="3"/>
    </row>
    <row r="170" spans="19:19" x14ac:dyDescent="0.2">
      <c r="S170" s="3"/>
    </row>
    <row r="171" spans="19:19" x14ac:dyDescent="0.2">
      <c r="S171" s="3"/>
    </row>
    <row r="172" spans="19:19" x14ac:dyDescent="0.2">
      <c r="S172" s="3"/>
    </row>
    <row r="173" spans="19:19" x14ac:dyDescent="0.2">
      <c r="S173" s="3"/>
    </row>
    <row r="174" spans="19:19" x14ac:dyDescent="0.2">
      <c r="S174" s="3"/>
    </row>
    <row r="175" spans="19:19" x14ac:dyDescent="0.2">
      <c r="S175" s="3"/>
    </row>
    <row r="176" spans="19:19" x14ac:dyDescent="0.2">
      <c r="S176" s="3"/>
    </row>
    <row r="177" spans="19:19" x14ac:dyDescent="0.2">
      <c r="S177" s="3"/>
    </row>
    <row r="178" spans="19:19" x14ac:dyDescent="0.2">
      <c r="S178" s="3"/>
    </row>
    <row r="179" spans="19:19" x14ac:dyDescent="0.2">
      <c r="S179" s="3"/>
    </row>
    <row r="180" spans="19:19" x14ac:dyDescent="0.2">
      <c r="S180" s="3"/>
    </row>
    <row r="181" spans="19:19" x14ac:dyDescent="0.2">
      <c r="S181" s="3"/>
    </row>
    <row r="182" spans="19:19" x14ac:dyDescent="0.2">
      <c r="S182" s="3"/>
    </row>
    <row r="183" spans="19:19" x14ac:dyDescent="0.2">
      <c r="S183" s="3"/>
    </row>
    <row r="184" spans="19:19" x14ac:dyDescent="0.2">
      <c r="S184" s="3"/>
    </row>
    <row r="185" spans="19:19" x14ac:dyDescent="0.2">
      <c r="S185" s="3"/>
    </row>
    <row r="186" spans="19:19" x14ac:dyDescent="0.2">
      <c r="S186" s="3"/>
    </row>
    <row r="187" spans="19:19" x14ac:dyDescent="0.2">
      <c r="S187" s="3"/>
    </row>
    <row r="188" spans="19:19" x14ac:dyDescent="0.2">
      <c r="S188" s="3"/>
    </row>
    <row r="189" spans="19:19" x14ac:dyDescent="0.2">
      <c r="S189" s="3"/>
    </row>
    <row r="190" spans="19:19" x14ac:dyDescent="0.2">
      <c r="S190" s="3"/>
    </row>
    <row r="191" spans="19:19" x14ac:dyDescent="0.2">
      <c r="S191" s="3"/>
    </row>
    <row r="192" spans="19:19" x14ac:dyDescent="0.2">
      <c r="S192" s="3"/>
    </row>
    <row r="193" spans="19:19" x14ac:dyDescent="0.2">
      <c r="S193" s="3"/>
    </row>
    <row r="194" spans="19:19" x14ac:dyDescent="0.2">
      <c r="S194" s="3"/>
    </row>
    <row r="195" spans="19:19" x14ac:dyDescent="0.2">
      <c r="S195" s="3"/>
    </row>
    <row r="196" spans="19:19" x14ac:dyDescent="0.2">
      <c r="S196" s="3"/>
    </row>
    <row r="197" spans="19:19" x14ac:dyDescent="0.2">
      <c r="S197" s="3"/>
    </row>
    <row r="198" spans="19:19" x14ac:dyDescent="0.2">
      <c r="S198" s="3"/>
    </row>
    <row r="199" spans="19:19" x14ac:dyDescent="0.2">
      <c r="S199" s="3"/>
    </row>
    <row r="200" spans="19:19" x14ac:dyDescent="0.2">
      <c r="S200" s="3"/>
    </row>
    <row r="201" spans="19:19" x14ac:dyDescent="0.2">
      <c r="S201" s="3"/>
    </row>
    <row r="202" spans="19:19" x14ac:dyDescent="0.2">
      <c r="S202" s="3"/>
    </row>
    <row r="203" spans="19:19" x14ac:dyDescent="0.2">
      <c r="S203" s="3"/>
    </row>
    <row r="204" spans="19:19" x14ac:dyDescent="0.2">
      <c r="S204" s="3"/>
    </row>
    <row r="205" spans="19:19" x14ac:dyDescent="0.2">
      <c r="S205" s="3"/>
    </row>
    <row r="206" spans="19:19" x14ac:dyDescent="0.2">
      <c r="S206" s="3"/>
    </row>
    <row r="207" spans="19:19" x14ac:dyDescent="0.2">
      <c r="S207" s="3"/>
    </row>
    <row r="208" spans="19:19" x14ac:dyDescent="0.2">
      <c r="S208" s="3"/>
    </row>
    <row r="209" spans="19:19" x14ac:dyDescent="0.2">
      <c r="S209" s="3"/>
    </row>
    <row r="210" spans="19:19" x14ac:dyDescent="0.2">
      <c r="S210" s="3"/>
    </row>
    <row r="211" spans="19:19" x14ac:dyDescent="0.2">
      <c r="S211" s="3"/>
    </row>
    <row r="212" spans="19:19" x14ac:dyDescent="0.2">
      <c r="S212" s="3"/>
    </row>
    <row r="213" spans="19:19" x14ac:dyDescent="0.2">
      <c r="S213" s="3"/>
    </row>
    <row r="214" spans="19:19" x14ac:dyDescent="0.2">
      <c r="S214" s="3"/>
    </row>
    <row r="215" spans="19:19" x14ac:dyDescent="0.2">
      <c r="S215" s="3"/>
    </row>
    <row r="216" spans="19:19" x14ac:dyDescent="0.2">
      <c r="S216" s="3"/>
    </row>
    <row r="217" spans="19:19" x14ac:dyDescent="0.2">
      <c r="S217" s="3"/>
    </row>
    <row r="218" spans="19:19" x14ac:dyDescent="0.2">
      <c r="S218" s="3"/>
    </row>
    <row r="219" spans="19:19" x14ac:dyDescent="0.2">
      <c r="S219" s="3"/>
    </row>
    <row r="220" spans="19:19" x14ac:dyDescent="0.2">
      <c r="S220" s="3"/>
    </row>
    <row r="221" spans="19:19" x14ac:dyDescent="0.2">
      <c r="S221" s="3"/>
    </row>
    <row r="222" spans="19:19" x14ac:dyDescent="0.2">
      <c r="S222" s="3"/>
    </row>
    <row r="223" spans="19:19" x14ac:dyDescent="0.2">
      <c r="S223" s="3"/>
    </row>
    <row r="224" spans="19:19" x14ac:dyDescent="0.2">
      <c r="S224" s="3"/>
    </row>
    <row r="225" spans="19:19" x14ac:dyDescent="0.2">
      <c r="S225" s="3"/>
    </row>
    <row r="226" spans="19:19" x14ac:dyDescent="0.2">
      <c r="S226" s="3"/>
    </row>
    <row r="227" spans="19:19" x14ac:dyDescent="0.2">
      <c r="S227" s="3"/>
    </row>
    <row r="228" spans="19:19" x14ac:dyDescent="0.2">
      <c r="S228" s="3"/>
    </row>
    <row r="229" spans="19:19" x14ac:dyDescent="0.2">
      <c r="S229" s="3"/>
    </row>
    <row r="230" spans="19:19" x14ac:dyDescent="0.2">
      <c r="S230" s="3"/>
    </row>
    <row r="231" spans="19:19" x14ac:dyDescent="0.2">
      <c r="S231" s="3"/>
    </row>
    <row r="232" spans="19:19" x14ac:dyDescent="0.2">
      <c r="S232" s="3"/>
    </row>
    <row r="233" spans="19:19" x14ac:dyDescent="0.2">
      <c r="S233" s="3"/>
    </row>
    <row r="234" spans="19:19" x14ac:dyDescent="0.2">
      <c r="S234" s="3"/>
    </row>
    <row r="235" spans="19:19" x14ac:dyDescent="0.2">
      <c r="S235" s="3"/>
    </row>
    <row r="236" spans="19:19" x14ac:dyDescent="0.2">
      <c r="S236" s="3"/>
    </row>
    <row r="237" spans="19:19" x14ac:dyDescent="0.2">
      <c r="S237" s="3"/>
    </row>
    <row r="238" spans="19:19" x14ac:dyDescent="0.2">
      <c r="S238" s="3"/>
    </row>
    <row r="239" spans="19:19" x14ac:dyDescent="0.2">
      <c r="S239" s="3"/>
    </row>
    <row r="240" spans="19:19" x14ac:dyDescent="0.2">
      <c r="S240" s="3"/>
    </row>
    <row r="241" spans="19:19" x14ac:dyDescent="0.2">
      <c r="S241" s="3"/>
    </row>
    <row r="242" spans="19:19" x14ac:dyDescent="0.2">
      <c r="S242" s="3"/>
    </row>
    <row r="243" spans="19:19" x14ac:dyDescent="0.2">
      <c r="S243" s="3"/>
    </row>
    <row r="244" spans="19:19" x14ac:dyDescent="0.2">
      <c r="S244" s="3"/>
    </row>
    <row r="245" spans="19:19" x14ac:dyDescent="0.2">
      <c r="S245" s="3"/>
    </row>
    <row r="246" spans="19:19" x14ac:dyDescent="0.2">
      <c r="S246" s="3"/>
    </row>
    <row r="247" spans="19:19" x14ac:dyDescent="0.2">
      <c r="S247" s="3"/>
    </row>
    <row r="248" spans="19:19" x14ac:dyDescent="0.2">
      <c r="S248" s="3"/>
    </row>
    <row r="249" spans="19:19" x14ac:dyDescent="0.2">
      <c r="S249" s="3"/>
    </row>
    <row r="250" spans="19:19" x14ac:dyDescent="0.2">
      <c r="S250" s="3"/>
    </row>
    <row r="251" spans="19:19" x14ac:dyDescent="0.2">
      <c r="S251" s="3"/>
    </row>
    <row r="252" spans="19:19" x14ac:dyDescent="0.2">
      <c r="S252" s="3"/>
    </row>
    <row r="253" spans="19:19" x14ac:dyDescent="0.2">
      <c r="S253" s="3"/>
    </row>
    <row r="254" spans="19:19" x14ac:dyDescent="0.2">
      <c r="S254" s="3"/>
    </row>
    <row r="255" spans="19:19" x14ac:dyDescent="0.2">
      <c r="S255" s="3"/>
    </row>
    <row r="256" spans="19:19" x14ac:dyDescent="0.2">
      <c r="S256" s="3"/>
    </row>
    <row r="257" spans="19:19" x14ac:dyDescent="0.2">
      <c r="S257" s="3"/>
    </row>
    <row r="258" spans="19:19" x14ac:dyDescent="0.2">
      <c r="S258" s="3"/>
    </row>
    <row r="259" spans="19:19" x14ac:dyDescent="0.2">
      <c r="S259" s="3"/>
    </row>
    <row r="260" spans="19:19" x14ac:dyDescent="0.2">
      <c r="S260" s="3"/>
    </row>
    <row r="261" spans="19:19" x14ac:dyDescent="0.2">
      <c r="S261" s="3"/>
    </row>
    <row r="262" spans="19:19" x14ac:dyDescent="0.2">
      <c r="S262" s="3"/>
    </row>
    <row r="263" spans="19:19" x14ac:dyDescent="0.2">
      <c r="S263" s="3"/>
    </row>
    <row r="264" spans="19:19" x14ac:dyDescent="0.2">
      <c r="S264" s="3"/>
    </row>
    <row r="265" spans="19:19" x14ac:dyDescent="0.2">
      <c r="S265" s="3"/>
    </row>
    <row r="266" spans="19:19" x14ac:dyDescent="0.2">
      <c r="S266" s="3"/>
    </row>
    <row r="267" spans="19:19" x14ac:dyDescent="0.2">
      <c r="S267" s="3"/>
    </row>
    <row r="268" spans="19:19" x14ac:dyDescent="0.2">
      <c r="S268" s="3"/>
    </row>
    <row r="269" spans="19:19" x14ac:dyDescent="0.2">
      <c r="S269" s="3"/>
    </row>
    <row r="270" spans="19:19" x14ac:dyDescent="0.2">
      <c r="S270" s="3"/>
    </row>
    <row r="271" spans="19:19" x14ac:dyDescent="0.2">
      <c r="S271" s="3"/>
    </row>
    <row r="272" spans="19:19" x14ac:dyDescent="0.2">
      <c r="S272" s="3"/>
    </row>
    <row r="273" spans="19:19" x14ac:dyDescent="0.2">
      <c r="S273" s="3"/>
    </row>
    <row r="274" spans="19:19" x14ac:dyDescent="0.2">
      <c r="S274" s="3"/>
    </row>
    <row r="275" spans="19:19" x14ac:dyDescent="0.2">
      <c r="S275" s="3"/>
    </row>
    <row r="276" spans="19:19" x14ac:dyDescent="0.2">
      <c r="S276" s="3"/>
    </row>
    <row r="277" spans="19:19" x14ac:dyDescent="0.2">
      <c r="S277" s="3"/>
    </row>
    <row r="278" spans="19:19" x14ac:dyDescent="0.2">
      <c r="S278" s="3"/>
    </row>
    <row r="279" spans="19:19" x14ac:dyDescent="0.2">
      <c r="S279" s="3"/>
    </row>
    <row r="280" spans="19:19" x14ac:dyDescent="0.2">
      <c r="S280" s="3"/>
    </row>
    <row r="281" spans="19:19" x14ac:dyDescent="0.2">
      <c r="S281" s="3"/>
    </row>
    <row r="282" spans="19:19" x14ac:dyDescent="0.2">
      <c r="S282" s="3"/>
    </row>
    <row r="283" spans="19:19" x14ac:dyDescent="0.2">
      <c r="S283" s="3"/>
    </row>
    <row r="284" spans="19:19" x14ac:dyDescent="0.2">
      <c r="S284" s="3"/>
    </row>
  </sheetData>
  <sheetProtection algorithmName="SHA-512" hashValue="Rq+0o1tkyWMcwTnkerznUELE3Xj24NHEpgYgI/f+LKRmCciDWG+04Ae1vwLNxQQAx7UAc5OGAufqXSyD9xi0zg==" saltValue="0iGv4KmDquAnY+i6VVTIPA==" spinCount="100000" sheet="1" selectLockedCells="1"/>
  <mergeCells count="19">
    <mergeCell ref="O25:P25"/>
    <mergeCell ref="Q25:R25"/>
    <mergeCell ref="F8:G8"/>
    <mergeCell ref="F9:G9"/>
    <mergeCell ref="F10:G10"/>
    <mergeCell ref="F13:H13"/>
    <mergeCell ref="I8:K8"/>
    <mergeCell ref="I13:L13"/>
    <mergeCell ref="I10:K10"/>
    <mergeCell ref="I11:K11"/>
    <mergeCell ref="I12:K12"/>
    <mergeCell ref="I9:L9"/>
    <mergeCell ref="I22:J22"/>
    <mergeCell ref="E14:F14"/>
    <mergeCell ref="D4:T4"/>
    <mergeCell ref="F5:H5"/>
    <mergeCell ref="F7:H7"/>
    <mergeCell ref="AD7:AE7"/>
    <mergeCell ref="E5:E6"/>
  </mergeCells>
  <phoneticPr fontId="1" type="noConversion"/>
  <conditionalFormatting sqref="F25:H25">
    <cfRule type="cellIs" dxfId="32" priority="8" operator="equal">
      <formula>FALSE</formula>
    </cfRule>
  </conditionalFormatting>
  <conditionalFormatting sqref="H8">
    <cfRule type="expression" dxfId="31" priority="12">
      <formula>H8&lt;V15</formula>
    </cfRule>
  </conditionalFormatting>
  <conditionalFormatting sqref="H15:H22">
    <cfRule type="cellIs" dxfId="30" priority="16" stopIfTrue="1" operator="equal">
      <formula>0</formula>
    </cfRule>
  </conditionalFormatting>
  <conditionalFormatting sqref="H23:H24 E27">
    <cfRule type="cellIs" dxfId="29" priority="20" stopIfTrue="1" operator="lessThan">
      <formula>0</formula>
    </cfRule>
  </conditionalFormatting>
  <conditionalFormatting sqref="H26:H27">
    <cfRule type="cellIs" dxfId="28" priority="7" operator="greaterThan">
      <formula>0</formula>
    </cfRule>
  </conditionalFormatting>
  <conditionalFormatting sqref="H26:H29">
    <cfRule type="cellIs" dxfId="27" priority="19" stopIfTrue="1" operator="equal">
      <formula>0</formula>
    </cfRule>
  </conditionalFormatting>
  <conditionalFormatting sqref="I22 K22:L22">
    <cfRule type="cellIs" dxfId="26" priority="1" operator="equal">
      <formula>FALSE</formula>
    </cfRule>
  </conditionalFormatting>
  <conditionalFormatting sqref="I8:K9">
    <cfRule type="cellIs" dxfId="25" priority="4" operator="equal">
      <formula>FALSE</formula>
    </cfRule>
  </conditionalFormatting>
  <conditionalFormatting sqref="I10:L13">
    <cfRule type="cellIs" dxfId="24" priority="3" operator="equal">
      <formula>FALSE</formula>
    </cfRule>
  </conditionalFormatting>
  <conditionalFormatting sqref="L8">
    <cfRule type="cellIs" dxfId="23" priority="9" operator="equal">
      <formula>FALSE</formula>
    </cfRule>
  </conditionalFormatting>
  <conditionalFormatting sqref="V9">
    <cfRule type="cellIs" dxfId="22" priority="17" stopIfTrue="1" operator="equal">
      <formula>FALSE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O107"/>
  <sheetViews>
    <sheetView topLeftCell="D1" zoomScale="130" zoomScaleNormal="130" workbookViewId="0">
      <selection activeCell="H5" sqref="H5"/>
    </sheetView>
  </sheetViews>
  <sheetFormatPr defaultRowHeight="12.75" x14ac:dyDescent="0.2"/>
  <cols>
    <col min="2" max="2" width="12" bestFit="1" customWidth="1"/>
    <col min="4" max="4" width="9.28515625" bestFit="1" customWidth="1"/>
    <col min="5" max="6" width="13.42578125" bestFit="1" customWidth="1"/>
    <col min="7" max="7" width="16" customWidth="1"/>
    <col min="8" max="8" width="15.28515625" bestFit="1" customWidth="1"/>
    <col min="9" max="9" width="9.5703125" bestFit="1" customWidth="1"/>
    <col min="11" max="11" width="12.42578125" bestFit="1" customWidth="1"/>
    <col min="12" max="12" width="11.7109375" bestFit="1" customWidth="1"/>
    <col min="13" max="13" width="10.7109375" bestFit="1" customWidth="1"/>
    <col min="14" max="14" width="8.85546875" bestFit="1" customWidth="1"/>
    <col min="15" max="15" width="16.140625" bestFit="1" customWidth="1"/>
    <col min="16" max="16" width="14.28515625" bestFit="1" customWidth="1"/>
    <col min="17" max="17" width="12.28515625" bestFit="1" customWidth="1"/>
    <col min="18" max="19" width="15.7109375" bestFit="1" customWidth="1"/>
    <col min="20" max="20" width="10.85546875" bestFit="1" customWidth="1"/>
    <col min="21" max="21" width="12.85546875" bestFit="1" customWidth="1"/>
    <col min="22" max="23" width="12" bestFit="1" customWidth="1"/>
    <col min="24" max="24" width="11.28515625" bestFit="1" customWidth="1"/>
    <col min="25" max="26" width="12.28515625" bestFit="1" customWidth="1"/>
    <col min="27" max="27" width="11.85546875" bestFit="1" customWidth="1"/>
    <col min="28" max="29" width="11.28515625" bestFit="1" customWidth="1"/>
    <col min="30" max="31" width="12.28515625" bestFit="1" customWidth="1"/>
    <col min="33" max="33" width="12.28515625" bestFit="1" customWidth="1"/>
    <col min="35" max="35" width="12.28515625" bestFit="1" customWidth="1"/>
    <col min="36" max="36" width="15.7109375" bestFit="1" customWidth="1"/>
    <col min="39" max="39" width="11.28515625" bestFit="1" customWidth="1"/>
    <col min="40" max="40" width="13" bestFit="1" customWidth="1"/>
    <col min="41" max="41" width="9.7109375" bestFit="1" customWidth="1"/>
    <col min="42" max="42" width="12" bestFit="1" customWidth="1"/>
    <col min="43" max="44" width="11.28515625" bestFit="1" customWidth="1"/>
    <col min="45" max="45" width="13.42578125" bestFit="1" customWidth="1"/>
    <col min="46" max="46" width="12.7109375" bestFit="1" customWidth="1"/>
  </cols>
  <sheetData>
    <row r="1" spans="1:171" ht="13.5" thickBot="1" x14ac:dyDescent="0.25">
      <c r="A1" s="2"/>
      <c r="B1" s="2"/>
      <c r="C1" s="2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</row>
    <row r="2" spans="1:171" ht="16.5" thickBot="1" x14ac:dyDescent="0.3">
      <c r="A2" s="2"/>
      <c r="B2" s="2"/>
      <c r="C2" s="2"/>
      <c r="D2" s="4"/>
      <c r="E2" s="96"/>
      <c r="F2" s="89" t="s">
        <v>40</v>
      </c>
      <c r="G2" s="90"/>
      <c r="H2" s="91"/>
      <c r="I2" s="3"/>
      <c r="J2" s="3"/>
      <c r="K2" s="12"/>
      <c r="L2" s="12"/>
      <c r="M2" s="3"/>
      <c r="N2" s="3"/>
      <c r="O2" s="3"/>
      <c r="P2" s="3"/>
      <c r="Q2" s="3"/>
      <c r="R2" s="3"/>
      <c r="S2" s="3"/>
      <c r="T2" s="2"/>
      <c r="U2" s="2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</row>
    <row r="3" spans="1:171" ht="15.75" thickBot="1" x14ac:dyDescent="0.25">
      <c r="A3" s="2"/>
      <c r="B3" s="2"/>
      <c r="C3" s="2"/>
      <c r="D3" s="4"/>
      <c r="E3" s="96"/>
      <c r="F3" s="5"/>
      <c r="G3" s="5"/>
      <c r="H3" s="5"/>
      <c r="I3" s="3"/>
      <c r="J3" s="3"/>
      <c r="K3" s="12"/>
      <c r="L3" s="12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</row>
    <row r="4" spans="1:171" ht="15.75" thickBot="1" x14ac:dyDescent="0.25">
      <c r="A4" s="2"/>
      <c r="B4" s="2"/>
      <c r="C4" s="2"/>
      <c r="D4" s="4"/>
      <c r="E4" s="6"/>
      <c r="F4" s="92" t="s">
        <v>53</v>
      </c>
      <c r="G4" s="93"/>
      <c r="H4" s="115"/>
      <c r="I4" s="3"/>
      <c r="J4" s="3"/>
      <c r="K4" s="12"/>
      <c r="L4" s="12"/>
      <c r="M4" s="2"/>
      <c r="N4" s="2"/>
      <c r="O4" s="2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95"/>
      <c r="AE4" s="95"/>
      <c r="AF4" s="1"/>
      <c r="AG4" s="1"/>
      <c r="AH4" s="1"/>
      <c r="AI4" s="1"/>
      <c r="AJ4" s="1"/>
      <c r="AK4" s="1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</row>
    <row r="5" spans="1:171" ht="15.75" thickBot="1" x14ac:dyDescent="0.25">
      <c r="A5" s="2"/>
      <c r="B5" s="2"/>
      <c r="C5" s="2"/>
      <c r="D5" s="4"/>
      <c r="E5" s="6"/>
      <c r="F5" s="98" t="s">
        <v>54</v>
      </c>
      <c r="G5" s="100"/>
      <c r="H5" s="11">
        <v>750</v>
      </c>
      <c r="I5" s="2"/>
      <c r="J5" s="2"/>
      <c r="K5" s="13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  <c r="W5" s="34"/>
      <c r="X5" s="27"/>
      <c r="Y5" s="27"/>
      <c r="Z5" s="27"/>
      <c r="AA5" s="27"/>
      <c r="AB5" s="27"/>
      <c r="AC5" s="27"/>
      <c r="AD5" s="27"/>
      <c r="AE5" s="43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</row>
    <row r="6" spans="1:171" ht="15.75" thickBot="1" x14ac:dyDescent="0.25">
      <c r="A6" s="2"/>
      <c r="B6" s="2"/>
      <c r="C6" s="2"/>
      <c r="D6" s="4"/>
      <c r="E6" s="6"/>
      <c r="F6" s="116" t="s">
        <v>32</v>
      </c>
      <c r="G6" s="100"/>
      <c r="H6" s="62">
        <f>Z17</f>
        <v>12679.903793103447</v>
      </c>
      <c r="I6" s="32" t="b">
        <f>IF(H5=0,"ou menor")</f>
        <v>0</v>
      </c>
      <c r="J6" s="2"/>
      <c r="K6" s="13"/>
      <c r="L6" s="36"/>
      <c r="M6" s="27"/>
      <c r="N6" s="27"/>
      <c r="O6" s="27"/>
      <c r="P6" s="27"/>
      <c r="Q6" s="27"/>
      <c r="R6" s="27"/>
      <c r="S6" s="27"/>
      <c r="T6" s="27"/>
      <c r="U6" s="27"/>
      <c r="V6" s="68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</row>
    <row r="7" spans="1:171" ht="15.75" thickBot="1" x14ac:dyDescent="0.25">
      <c r="A7" s="2"/>
      <c r="B7" s="2"/>
      <c r="C7" s="2"/>
      <c r="D7" s="4"/>
      <c r="E7" s="6"/>
      <c r="F7" s="101" t="s">
        <v>63</v>
      </c>
      <c r="G7" s="102"/>
      <c r="H7" s="45">
        <f>H5/H6</f>
        <v>5.9148713762948439E-2</v>
      </c>
      <c r="I7" s="2"/>
      <c r="J7" s="2"/>
      <c r="K7" s="13"/>
      <c r="L7" s="3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69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</row>
    <row r="8" spans="1:171" ht="15.75" thickBot="1" x14ac:dyDescent="0.25">
      <c r="A8" s="2"/>
      <c r="B8" s="2"/>
      <c r="C8" s="2"/>
      <c r="D8" s="4"/>
      <c r="E8" s="6"/>
      <c r="F8" s="46"/>
      <c r="G8" s="21"/>
      <c r="H8" s="47"/>
      <c r="I8" s="2"/>
      <c r="J8" s="2"/>
      <c r="K8" s="13"/>
      <c r="L8" s="3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34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</row>
    <row r="9" spans="1:171" ht="16.5" thickBot="1" x14ac:dyDescent="0.3">
      <c r="A9" s="2"/>
      <c r="B9" s="7"/>
      <c r="C9" s="2"/>
      <c r="D9" s="8"/>
      <c r="E9" s="63" t="s">
        <v>49</v>
      </c>
      <c r="F9" s="64">
        <f>Ativos!Z25</f>
        <v>0.09</v>
      </c>
      <c r="G9" s="50" t="s">
        <v>58</v>
      </c>
      <c r="H9" s="65">
        <f>Z20</f>
        <v>13821.095134482757</v>
      </c>
      <c r="I9" s="32" t="b">
        <f>IF(H5=0,"ou menor")</f>
        <v>0</v>
      </c>
      <c r="J9" s="2"/>
      <c r="K9" s="13"/>
      <c r="L9" s="36"/>
      <c r="M9" s="27"/>
      <c r="N9" s="27"/>
      <c r="O9" s="27"/>
      <c r="P9" s="27" t="s">
        <v>28</v>
      </c>
      <c r="Q9" s="27"/>
      <c r="R9" s="27">
        <v>2020</v>
      </c>
      <c r="S9" s="27"/>
      <c r="T9" s="27"/>
      <c r="U9" s="27"/>
      <c r="V9" s="27" t="s">
        <v>23</v>
      </c>
      <c r="W9" s="27" t="s">
        <v>24</v>
      </c>
      <c r="X9" s="27" t="s">
        <v>25</v>
      </c>
      <c r="Y9" s="27" t="s">
        <v>26</v>
      </c>
      <c r="Z9" s="27"/>
      <c r="AA9" s="27"/>
      <c r="AB9" s="27"/>
      <c r="AC9" s="35"/>
      <c r="AD9" s="27"/>
      <c r="AE9" s="27"/>
      <c r="AF9" s="27"/>
      <c r="AG9" s="27" t="s">
        <v>29</v>
      </c>
      <c r="AH9" s="27"/>
      <c r="AI9" s="27"/>
      <c r="AJ9" s="27"/>
      <c r="AK9" s="27"/>
      <c r="AL9" s="27"/>
      <c r="AM9" s="27" t="s">
        <v>23</v>
      </c>
      <c r="AN9" s="27"/>
      <c r="AO9" s="27"/>
      <c r="AP9" s="27"/>
      <c r="AQ9" s="27"/>
      <c r="AR9" s="27"/>
      <c r="AS9" s="27"/>
      <c r="AT9" s="35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</row>
    <row r="10" spans="1:171" ht="15" x14ac:dyDescent="0.2">
      <c r="A10" s="2"/>
      <c r="B10" s="7"/>
      <c r="C10" s="2"/>
      <c r="D10" s="8"/>
      <c r="E10" s="5"/>
      <c r="F10" s="103" t="s">
        <v>46</v>
      </c>
      <c r="G10" s="104"/>
      <c r="H10" s="105"/>
      <c r="I10" s="13"/>
      <c r="J10" s="2"/>
      <c r="K10" s="15"/>
      <c r="L10" s="36"/>
      <c r="M10" s="36"/>
      <c r="N10" s="36"/>
      <c r="O10" s="27"/>
      <c r="P10" s="68">
        <v>2023</v>
      </c>
      <c r="Q10" s="27"/>
      <c r="R10" s="27" t="s">
        <v>20</v>
      </c>
      <c r="S10" s="27" t="s">
        <v>21</v>
      </c>
      <c r="T10" s="27" t="s">
        <v>22</v>
      </c>
      <c r="U10" s="27"/>
      <c r="V10" s="27"/>
      <c r="W10" s="27">
        <v>0</v>
      </c>
      <c r="X10" s="27"/>
      <c r="Y10" s="27"/>
      <c r="Z10" s="27"/>
      <c r="AA10" s="27"/>
      <c r="AB10" s="27"/>
      <c r="AC10" s="35"/>
      <c r="AD10" s="27"/>
      <c r="AE10" s="27"/>
      <c r="AF10" s="27"/>
      <c r="AG10" s="37">
        <v>45047</v>
      </c>
      <c r="AH10" s="27"/>
      <c r="AI10" s="36" t="s">
        <v>20</v>
      </c>
      <c r="AJ10" s="36" t="s">
        <v>21</v>
      </c>
      <c r="AK10" s="27" t="s">
        <v>22</v>
      </c>
      <c r="AL10" s="27"/>
      <c r="AM10" s="27"/>
      <c r="AN10" s="27"/>
      <c r="AO10" s="27"/>
      <c r="AP10" s="27"/>
      <c r="AQ10" s="27"/>
      <c r="AR10" s="27"/>
      <c r="AS10" s="27"/>
      <c r="AT10" s="35" t="s">
        <v>31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</row>
    <row r="11" spans="1:171" x14ac:dyDescent="0.2">
      <c r="A11" s="2"/>
      <c r="B11" s="7"/>
      <c r="C11" s="2"/>
      <c r="D11" s="9"/>
      <c r="E11" s="112" t="s">
        <v>4</v>
      </c>
      <c r="F11" s="112"/>
      <c r="G11" s="112"/>
      <c r="H11" s="51" t="s">
        <v>2</v>
      </c>
      <c r="I11" s="2"/>
      <c r="J11" s="2"/>
      <c r="K11" s="15"/>
      <c r="L11" s="36"/>
      <c r="M11" s="36"/>
      <c r="N11" s="36"/>
      <c r="O11" s="27"/>
      <c r="P11" s="34">
        <f>Ativos!P18</f>
        <v>7507.49</v>
      </c>
      <c r="Q11" s="27"/>
      <c r="R11" s="34">
        <v>0</v>
      </c>
      <c r="S11" s="34">
        <f t="shared" ref="S11:S14" si="0">P11</f>
        <v>7507.49</v>
      </c>
      <c r="T11" s="38">
        <v>0</v>
      </c>
      <c r="U11" s="27"/>
      <c r="V11" s="34">
        <f t="shared" ref="V11:V14" si="1">(S11-R11)*T11</f>
        <v>0</v>
      </c>
      <c r="W11" s="34">
        <f>V11</f>
        <v>0</v>
      </c>
      <c r="X11" s="34">
        <f>MIN($H$5,W11)</f>
        <v>0</v>
      </c>
      <c r="Y11" s="34">
        <f>MAX($H$5,W11)</f>
        <v>750</v>
      </c>
      <c r="Z11" s="34">
        <f>IF(W11&gt;$H$5,0,V11)</f>
        <v>0</v>
      </c>
      <c r="AA11" s="34">
        <f>IF(W11&gt;$H$5, $H$5-W10,0)</f>
        <v>0</v>
      </c>
      <c r="AB11" s="34">
        <f>IF(AA11&lt;0,0,Z11+AA11)</f>
        <v>0</v>
      </c>
      <c r="AC11" s="34">
        <f>AB11</f>
        <v>0</v>
      </c>
      <c r="AD11" s="34">
        <f>IF(AC11&gt;$H$5,0,AB11)</f>
        <v>0</v>
      </c>
      <c r="AE11" s="34">
        <f>S11</f>
        <v>7507.49</v>
      </c>
      <c r="AF11" s="27"/>
      <c r="AG11" s="34">
        <f>Ativos!AG18</f>
        <v>7507.49</v>
      </c>
      <c r="AH11" s="27"/>
      <c r="AI11" s="34">
        <v>0</v>
      </c>
      <c r="AJ11" s="34">
        <f t="shared" ref="AJ11:AJ14" si="2">AG11</f>
        <v>7507.49</v>
      </c>
      <c r="AK11" s="38">
        <v>0</v>
      </c>
      <c r="AL11" s="27"/>
      <c r="AM11" s="34">
        <f t="shared" ref="AM11:AM14" si="3">(AJ11-AI11)*AK11</f>
        <v>0</v>
      </c>
      <c r="AN11" s="34">
        <f>$Z$20-AI11</f>
        <v>13821.095134482757</v>
      </c>
      <c r="AO11" s="34">
        <f>IF($Z$20&gt;AJ11,AM11,0)</f>
        <v>0</v>
      </c>
      <c r="AP11" s="34">
        <f>IF($Z$20&lt;AJ11,($Z$20-AI11)*AK11,0)</f>
        <v>0</v>
      </c>
      <c r="AQ11" s="34"/>
      <c r="AR11" s="34">
        <f t="shared" ref="AR11:AR16" si="4">MAX(AO11,AQ11)</f>
        <v>0</v>
      </c>
      <c r="AS11" s="34"/>
      <c r="AT11" s="34">
        <f t="shared" ref="AT11:AT15" si="5">AR11-AD11</f>
        <v>0</v>
      </c>
      <c r="AU11" s="34"/>
      <c r="AV11" s="34"/>
      <c r="AW11" s="34"/>
      <c r="AX11" s="27"/>
      <c r="AY11" s="34"/>
      <c r="AZ11" s="34"/>
      <c r="BA11" s="34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</row>
    <row r="12" spans="1:171" x14ac:dyDescent="0.2">
      <c r="A12" s="2"/>
      <c r="B12" s="7"/>
      <c r="C12" s="2"/>
      <c r="D12" s="9"/>
      <c r="E12" s="16">
        <f t="shared" ref="E12:F16" si="6">AI11</f>
        <v>0</v>
      </c>
      <c r="F12" s="16">
        <f t="shared" si="6"/>
        <v>7507.49</v>
      </c>
      <c r="G12" s="17">
        <f t="shared" ref="G12:G16" si="7">T11</f>
        <v>0</v>
      </c>
      <c r="H12" s="18">
        <f t="shared" ref="H12:H16" si="8">AR11</f>
        <v>0</v>
      </c>
      <c r="I12" s="2"/>
      <c r="J12" s="2"/>
      <c r="K12" s="15"/>
      <c r="L12" s="36"/>
      <c r="M12" s="36"/>
      <c r="N12" s="36"/>
      <c r="O12" s="27"/>
      <c r="P12" s="34">
        <f>Ativos!P19</f>
        <v>12856.501896582726</v>
      </c>
      <c r="Q12" s="27"/>
      <c r="R12" s="34">
        <f t="shared" ref="R12:R15" si="9">S11+0.01</f>
        <v>7507.5</v>
      </c>
      <c r="S12" s="34">
        <f t="shared" si="0"/>
        <v>12856.501896582726</v>
      </c>
      <c r="T12" s="38">
        <v>0.14499999999999999</v>
      </c>
      <c r="U12" s="27"/>
      <c r="V12" s="34">
        <f t="shared" si="1"/>
        <v>775.60527500449518</v>
      </c>
      <c r="W12" s="34">
        <f t="shared" ref="W12:W14" si="10">V12+W11</f>
        <v>775.60527500449518</v>
      </c>
      <c r="X12" s="34">
        <f>MIN($H$5,W12)</f>
        <v>750</v>
      </c>
      <c r="Y12" s="34">
        <f>MAX($H$5,W12)</f>
        <v>775.60527500449518</v>
      </c>
      <c r="Z12" s="34">
        <f>IF(W12&gt;$H$5,0,V12)</f>
        <v>0</v>
      </c>
      <c r="AA12" s="34">
        <f>IF(W12&gt;$H$5, $H$5-W11,0)</f>
        <v>750</v>
      </c>
      <c r="AB12" s="34">
        <f t="shared" ref="AB12:AB14" si="11">IF(AA12&lt;0,0,Z12+AA12)</f>
        <v>750</v>
      </c>
      <c r="AC12" s="34">
        <f t="shared" ref="AC12:AC14" si="12">AC11+AB12</f>
        <v>750</v>
      </c>
      <c r="AD12" s="34">
        <f>IF(AC12&gt;$H$5,0,AB12)</f>
        <v>750</v>
      </c>
      <c r="AE12" s="34">
        <f t="shared" ref="AE12:AE15" si="13">AD12/T12</f>
        <v>5172.4137931034484</v>
      </c>
      <c r="AF12" s="27"/>
      <c r="AG12" s="34">
        <f>Ativos!AG19</f>
        <v>12856.501896582726</v>
      </c>
      <c r="AH12" s="27"/>
      <c r="AI12" s="34">
        <f t="shared" ref="AI12:AI15" si="14">AJ11+0.01</f>
        <v>7507.5</v>
      </c>
      <c r="AJ12" s="34">
        <f t="shared" si="2"/>
        <v>12856.501896582726</v>
      </c>
      <c r="AK12" s="38">
        <v>0.14499999999999999</v>
      </c>
      <c r="AL12" s="27"/>
      <c r="AM12" s="34">
        <f t="shared" si="3"/>
        <v>775.60527500449518</v>
      </c>
      <c r="AN12" s="34">
        <f t="shared" ref="AN12:AN15" si="15">$Z$20-AI12</f>
        <v>6313.5951344827572</v>
      </c>
      <c r="AO12" s="34">
        <f t="shared" ref="AO12:AO15" si="16">IF($Z$20&gt;AJ12,AM12,0)</f>
        <v>775.60527500449518</v>
      </c>
      <c r="AP12" s="34">
        <f t="shared" ref="AP12:AP15" si="17">IF($Z$20&lt;AJ12,($Z$20-AI12)*AK12,0)</f>
        <v>0</v>
      </c>
      <c r="AQ12" s="34">
        <f t="shared" ref="AQ12:AQ15" si="18">IF(AP12&lt;0,0,AP12)</f>
        <v>0</v>
      </c>
      <c r="AR12" s="34">
        <f t="shared" si="4"/>
        <v>775.60527500449518</v>
      </c>
      <c r="AS12" s="34"/>
      <c r="AT12" s="34">
        <f t="shared" si="5"/>
        <v>25.605275004495184</v>
      </c>
      <c r="AU12" s="34"/>
      <c r="AV12" s="34"/>
      <c r="AW12" s="34"/>
      <c r="AX12" s="27"/>
      <c r="AY12" s="34"/>
      <c r="AZ12" s="34"/>
      <c r="BA12" s="34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</row>
    <row r="13" spans="1:171" x14ac:dyDescent="0.2">
      <c r="A13" s="2"/>
      <c r="B13" s="7"/>
      <c r="C13" s="2"/>
      <c r="D13" s="9"/>
      <c r="E13" s="16">
        <f t="shared" si="6"/>
        <v>7507.5</v>
      </c>
      <c r="F13" s="16">
        <f t="shared" si="6"/>
        <v>12856.501896582726</v>
      </c>
      <c r="G13" s="17">
        <f t="shared" si="7"/>
        <v>0.14499999999999999</v>
      </c>
      <c r="H13" s="18">
        <f t="shared" si="8"/>
        <v>775.60527500449518</v>
      </c>
      <c r="I13" s="2"/>
      <c r="J13" s="2"/>
      <c r="K13" s="15"/>
      <c r="L13" s="36"/>
      <c r="M13" s="36"/>
      <c r="N13" s="36"/>
      <c r="O13" s="27"/>
      <c r="P13" s="34">
        <f>Ativos!P20</f>
        <v>25713.003793165451</v>
      </c>
      <c r="Q13" s="27"/>
      <c r="R13" s="34">
        <f t="shared" si="9"/>
        <v>12856.511896582726</v>
      </c>
      <c r="S13" s="34">
        <f t="shared" si="0"/>
        <v>25713.003793165451</v>
      </c>
      <c r="T13" s="38">
        <v>0.16500000000000001</v>
      </c>
      <c r="U13" s="27"/>
      <c r="V13" s="34">
        <f t="shared" si="1"/>
        <v>2121.3211629361499</v>
      </c>
      <c r="W13" s="34">
        <f t="shared" si="10"/>
        <v>2896.926437940645</v>
      </c>
      <c r="X13" s="34">
        <f>MIN($H$5,W13)</f>
        <v>750</v>
      </c>
      <c r="Y13" s="34">
        <f>MAX($H$5,W13)</f>
        <v>2896.926437940645</v>
      </c>
      <c r="Z13" s="34">
        <f>IF(W13&gt;$H$5,0,V13)</f>
        <v>0</v>
      </c>
      <c r="AA13" s="34">
        <f>IF(W13&gt;$H$5, $H$5-W12,0)</f>
        <v>-25.605275004495184</v>
      </c>
      <c r="AB13" s="34">
        <f t="shared" si="11"/>
        <v>0</v>
      </c>
      <c r="AC13" s="34">
        <f t="shared" si="12"/>
        <v>750</v>
      </c>
      <c r="AD13" s="34">
        <f>IF(AC13&gt;$H$5,0,AB13)</f>
        <v>0</v>
      </c>
      <c r="AE13" s="34">
        <f t="shared" si="13"/>
        <v>0</v>
      </c>
      <c r="AF13" s="27"/>
      <c r="AG13" s="34">
        <f>Ativos!AG20</f>
        <v>25713.003793165451</v>
      </c>
      <c r="AH13" s="27"/>
      <c r="AI13" s="34">
        <f t="shared" si="14"/>
        <v>12856.511896582726</v>
      </c>
      <c r="AJ13" s="34">
        <f t="shared" si="2"/>
        <v>25713.003793165451</v>
      </c>
      <c r="AK13" s="38">
        <v>0.16500000000000001</v>
      </c>
      <c r="AL13" s="27"/>
      <c r="AM13" s="34">
        <f t="shared" si="3"/>
        <v>2121.3211629361499</v>
      </c>
      <c r="AN13" s="34">
        <f t="shared" si="15"/>
        <v>964.58323790003124</v>
      </c>
      <c r="AO13" s="34">
        <f t="shared" si="16"/>
        <v>0</v>
      </c>
      <c r="AP13" s="34">
        <f t="shared" si="17"/>
        <v>159.15623425350518</v>
      </c>
      <c r="AQ13" s="34">
        <f t="shared" si="18"/>
        <v>159.15623425350518</v>
      </c>
      <c r="AR13" s="34">
        <f t="shared" si="4"/>
        <v>159.15623425350518</v>
      </c>
      <c r="AS13" s="34"/>
      <c r="AT13" s="34">
        <f t="shared" si="5"/>
        <v>159.15623425350518</v>
      </c>
      <c r="AU13" s="34"/>
      <c r="AV13" s="34"/>
      <c r="AW13" s="34"/>
      <c r="AX13" s="27"/>
      <c r="AY13" s="34"/>
      <c r="AZ13" s="34"/>
      <c r="BA13" s="34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</row>
    <row r="14" spans="1:171" x14ac:dyDescent="0.2">
      <c r="A14" s="2"/>
      <c r="B14" s="2"/>
      <c r="C14" s="2"/>
      <c r="D14" s="9"/>
      <c r="E14" s="16">
        <f t="shared" si="6"/>
        <v>12856.511896582726</v>
      </c>
      <c r="F14" s="16">
        <f t="shared" si="6"/>
        <v>25713.003793165451</v>
      </c>
      <c r="G14" s="17">
        <f t="shared" si="7"/>
        <v>0.16500000000000001</v>
      </c>
      <c r="H14" s="18">
        <f t="shared" si="8"/>
        <v>159.15623425350518</v>
      </c>
      <c r="I14" s="2"/>
      <c r="J14" s="2"/>
      <c r="K14" s="15"/>
      <c r="L14" s="36"/>
      <c r="M14" s="36"/>
      <c r="N14" s="36"/>
      <c r="O14" s="27"/>
      <c r="P14" s="34">
        <f>Ativos!P21</f>
        <v>50140.357396672633</v>
      </c>
      <c r="Q14" s="27"/>
      <c r="R14" s="34">
        <f t="shared" si="9"/>
        <v>25713.01379316545</v>
      </c>
      <c r="S14" s="34">
        <f t="shared" si="0"/>
        <v>50140.357396672633</v>
      </c>
      <c r="T14" s="38">
        <v>0.19</v>
      </c>
      <c r="U14" s="27"/>
      <c r="V14" s="34">
        <f t="shared" si="1"/>
        <v>4641.1952846663644</v>
      </c>
      <c r="W14" s="34">
        <f t="shared" si="10"/>
        <v>7538.1217226070094</v>
      </c>
      <c r="X14" s="34">
        <f>MIN($H$5,W14)</f>
        <v>750</v>
      </c>
      <c r="Y14" s="34">
        <f>MAX($H$5,W14)</f>
        <v>7538.1217226070094</v>
      </c>
      <c r="Z14" s="34">
        <f>IF(W14&gt;$H$5,0,V14)</f>
        <v>0</v>
      </c>
      <c r="AA14" s="34">
        <f>IF(W14&gt;$H$5, $H$5-W13,0)</f>
        <v>-2146.926437940645</v>
      </c>
      <c r="AB14" s="34">
        <f t="shared" si="11"/>
        <v>0</v>
      </c>
      <c r="AC14" s="34">
        <f t="shared" si="12"/>
        <v>750</v>
      </c>
      <c r="AD14" s="34">
        <f>IF(AC14&gt;$H$5,0,AB14)</f>
        <v>0</v>
      </c>
      <c r="AE14" s="34">
        <f t="shared" si="13"/>
        <v>0</v>
      </c>
      <c r="AF14" s="27"/>
      <c r="AG14" s="34">
        <f>Ativos!AG21</f>
        <v>50140.357396672633</v>
      </c>
      <c r="AH14" s="27"/>
      <c r="AI14" s="34">
        <f t="shared" si="14"/>
        <v>25713.01379316545</v>
      </c>
      <c r="AJ14" s="34">
        <f t="shared" si="2"/>
        <v>50140.357396672633</v>
      </c>
      <c r="AK14" s="38">
        <v>0.19</v>
      </c>
      <c r="AL14" s="27"/>
      <c r="AM14" s="34">
        <f t="shared" si="3"/>
        <v>4641.1952846663644</v>
      </c>
      <c r="AN14" s="34">
        <f t="shared" si="15"/>
        <v>-11891.918658682693</v>
      </c>
      <c r="AO14" s="34">
        <f t="shared" si="16"/>
        <v>0</v>
      </c>
      <c r="AP14" s="34">
        <f t="shared" si="17"/>
        <v>-2259.4645451497117</v>
      </c>
      <c r="AQ14" s="34">
        <f t="shared" si="18"/>
        <v>0</v>
      </c>
      <c r="AR14" s="34">
        <f t="shared" si="4"/>
        <v>0</v>
      </c>
      <c r="AS14" s="34"/>
      <c r="AT14" s="34">
        <f t="shared" si="5"/>
        <v>0</v>
      </c>
      <c r="AU14" s="34"/>
      <c r="AV14" s="34"/>
      <c r="AW14" s="34"/>
      <c r="AX14" s="27"/>
      <c r="AY14" s="34"/>
      <c r="AZ14" s="34"/>
      <c r="BA14" s="34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</row>
    <row r="15" spans="1:171" x14ac:dyDescent="0.2">
      <c r="A15" s="2"/>
      <c r="B15" s="2"/>
      <c r="C15" s="2"/>
      <c r="D15" s="8"/>
      <c r="E15" s="16">
        <f t="shared" si="6"/>
        <v>25713.01379316545</v>
      </c>
      <c r="F15" s="16">
        <f t="shared" si="6"/>
        <v>50140.357396672633</v>
      </c>
      <c r="G15" s="17">
        <f t="shared" si="7"/>
        <v>0.19</v>
      </c>
      <c r="H15" s="18">
        <f t="shared" si="8"/>
        <v>0</v>
      </c>
      <c r="I15" s="2"/>
      <c r="J15" s="2"/>
      <c r="K15" s="13"/>
      <c r="L15" s="36"/>
      <c r="M15" s="27"/>
      <c r="N15" s="27"/>
      <c r="O15" s="27"/>
      <c r="P15" s="27"/>
      <c r="Q15" s="27"/>
      <c r="R15" s="34">
        <f t="shared" si="9"/>
        <v>50140.367396672635</v>
      </c>
      <c r="S15" s="34" t="s">
        <v>27</v>
      </c>
      <c r="T15" s="38">
        <v>0.22</v>
      </c>
      <c r="U15" s="27"/>
      <c r="V15" s="34">
        <f>IF(BA15&lt;0,0,BA15)</f>
        <v>0</v>
      </c>
      <c r="W15" s="34">
        <f>IF($H$5&gt;W14,W14+Z14,0)</f>
        <v>0</v>
      </c>
      <c r="X15" s="34">
        <f>MIN($H$5,W15)</f>
        <v>0</v>
      </c>
      <c r="Y15" s="34">
        <f>MAX($H$5,W15)</f>
        <v>750</v>
      </c>
      <c r="Z15" s="34">
        <f>$H$5-W14</f>
        <v>-6788.1217226070094</v>
      </c>
      <c r="AA15" s="34"/>
      <c r="AB15" s="34"/>
      <c r="AC15" s="34"/>
      <c r="AD15" s="34">
        <f>IF(Z15&lt;0,0,Z15)</f>
        <v>0</v>
      </c>
      <c r="AE15" s="34">
        <f t="shared" si="13"/>
        <v>0</v>
      </c>
      <c r="AF15" s="27"/>
      <c r="AG15" s="27"/>
      <c r="AH15" s="27"/>
      <c r="AI15" s="34">
        <f t="shared" si="14"/>
        <v>50140.367396672635</v>
      </c>
      <c r="AJ15" s="34" t="s">
        <v>27</v>
      </c>
      <c r="AK15" s="38">
        <v>0.22</v>
      </c>
      <c r="AL15" s="27"/>
      <c r="AM15" s="34">
        <v>0</v>
      </c>
      <c r="AN15" s="34">
        <f t="shared" si="15"/>
        <v>-36319.272262189879</v>
      </c>
      <c r="AO15" s="34">
        <f t="shared" si="16"/>
        <v>0</v>
      </c>
      <c r="AP15" s="34">
        <f t="shared" si="17"/>
        <v>-7990.2398976817731</v>
      </c>
      <c r="AQ15" s="34">
        <f t="shared" si="18"/>
        <v>0</v>
      </c>
      <c r="AR15" s="34">
        <f t="shared" si="4"/>
        <v>0</v>
      </c>
      <c r="AS15" s="34"/>
      <c r="AT15" s="34">
        <f t="shared" si="5"/>
        <v>0</v>
      </c>
      <c r="AU15" s="34"/>
      <c r="AV15" s="34"/>
      <c r="AW15" s="27"/>
      <c r="AX15" s="27"/>
      <c r="AY15" s="34"/>
      <c r="AZ15" s="34"/>
      <c r="BA15" s="34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</row>
    <row r="16" spans="1:171" ht="13.5" thickBot="1" x14ac:dyDescent="0.25">
      <c r="A16" s="2"/>
      <c r="B16" s="2"/>
      <c r="C16" s="2"/>
      <c r="D16" s="8"/>
      <c r="E16" s="16">
        <f t="shared" si="6"/>
        <v>50140.367396672635</v>
      </c>
      <c r="F16" s="16" t="s">
        <v>27</v>
      </c>
      <c r="G16" s="17">
        <f t="shared" si="7"/>
        <v>0.22</v>
      </c>
      <c r="H16" s="18">
        <f t="shared" si="8"/>
        <v>0</v>
      </c>
      <c r="I16" s="2"/>
      <c r="J16" s="2"/>
      <c r="K16" s="13"/>
      <c r="L16" s="3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4"/>
      <c r="AF16" s="27"/>
      <c r="AG16" s="27"/>
      <c r="AH16" s="27"/>
      <c r="AI16" s="27"/>
      <c r="AJ16" s="27"/>
      <c r="AK16" s="27"/>
      <c r="AL16" s="27"/>
      <c r="AM16" s="27"/>
      <c r="AN16" s="34"/>
      <c r="AO16" s="27"/>
      <c r="AP16" s="34"/>
      <c r="AQ16" s="27"/>
      <c r="AR16" s="34">
        <f t="shared" si="4"/>
        <v>0</v>
      </c>
      <c r="AS16" s="27"/>
      <c r="AT16" s="27"/>
      <c r="AU16" s="27"/>
      <c r="AV16" s="34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</row>
    <row r="17" spans="1:171" ht="15.75" thickBot="1" x14ac:dyDescent="0.3">
      <c r="A17" s="2"/>
      <c r="B17" s="2"/>
      <c r="C17" s="2"/>
      <c r="D17" s="8"/>
      <c r="E17" s="109" t="s">
        <v>56</v>
      </c>
      <c r="F17" s="110"/>
      <c r="G17" s="111"/>
      <c r="H17" s="10">
        <f>AR17</f>
        <v>934.76150925800039</v>
      </c>
      <c r="I17" s="32" t="b">
        <f>IF(H5=0,"ou menor")</f>
        <v>0</v>
      </c>
      <c r="J17" s="2"/>
      <c r="K17" s="13"/>
      <c r="L17" s="3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9" t="s">
        <v>30</v>
      </c>
      <c r="Z17" s="40">
        <f>SUM(AE11:AE15)</f>
        <v>12679.903793103447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34"/>
      <c r="AP17" s="34"/>
      <c r="AQ17" s="34"/>
      <c r="AR17" s="34">
        <f>SUM(AR11:AR15)</f>
        <v>934.76150925800039</v>
      </c>
      <c r="AS17" s="27"/>
      <c r="AT17" s="34">
        <f>SUM(AT11:AT15)</f>
        <v>184.76150925800036</v>
      </c>
      <c r="AU17" s="27"/>
      <c r="AV17" s="34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</row>
    <row r="18" spans="1:171" ht="15.75" thickBot="1" x14ac:dyDescent="0.3">
      <c r="A18" s="2"/>
      <c r="B18" s="2"/>
      <c r="C18" s="2"/>
      <c r="D18" s="8"/>
      <c r="E18" s="3"/>
      <c r="F18" s="113" t="s">
        <v>57</v>
      </c>
      <c r="G18" s="114"/>
      <c r="H18" s="66">
        <f>H17/H6</f>
        <v>7.3719921263630861E-2</v>
      </c>
      <c r="I18" s="2"/>
      <c r="J18" s="2"/>
      <c r="K18" s="13"/>
      <c r="L18" s="36"/>
      <c r="M18" s="27"/>
      <c r="N18" s="27"/>
      <c r="O18" s="97"/>
      <c r="P18" s="97"/>
      <c r="Q18" s="97"/>
      <c r="R18" s="97"/>
      <c r="S18" s="27"/>
      <c r="T18" s="27"/>
      <c r="U18" s="27"/>
      <c r="V18" s="27"/>
      <c r="W18" s="27"/>
      <c r="X18" s="34"/>
      <c r="Y18" s="70" t="s">
        <v>49</v>
      </c>
      <c r="Z18" s="41">
        <f>Ativos!Z25</f>
        <v>0.09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34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</row>
    <row r="19" spans="1:171" ht="15" x14ac:dyDescent="0.2">
      <c r="A19" s="2"/>
      <c r="B19" s="2"/>
      <c r="C19" s="2"/>
      <c r="D19" s="8"/>
      <c r="E19" s="5"/>
      <c r="F19" s="8"/>
      <c r="G19" s="8"/>
      <c r="H19" s="8"/>
      <c r="I19" s="2"/>
      <c r="J19" s="2"/>
      <c r="K19" s="13"/>
      <c r="L19" s="36"/>
      <c r="M19" s="42"/>
      <c r="N19" s="42"/>
      <c r="O19" s="42"/>
      <c r="P19" s="42"/>
      <c r="Q19" s="42"/>
      <c r="R19" s="42"/>
      <c r="S19" s="27"/>
      <c r="T19" s="27"/>
      <c r="U19" s="27"/>
      <c r="V19" s="27"/>
      <c r="W19" s="27"/>
      <c r="X19" s="34"/>
      <c r="Y19" s="70" t="s">
        <v>48</v>
      </c>
      <c r="Z19" s="34">
        <f>Z17*Z18</f>
        <v>1141.1913413793102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34"/>
      <c r="AR19" s="34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</row>
    <row r="20" spans="1:171" ht="15" x14ac:dyDescent="0.2">
      <c r="A20" s="2"/>
      <c r="B20" s="2"/>
      <c r="C20" s="2"/>
      <c r="D20" s="8"/>
      <c r="E20" s="5"/>
      <c r="F20" s="8"/>
      <c r="G20" s="67" t="s">
        <v>33</v>
      </c>
      <c r="H20" s="57">
        <f>H17-H5</f>
        <v>184.76150925800039</v>
      </c>
      <c r="I20" s="13" t="b">
        <f>IF(H21=-1,"isento")</f>
        <v>0</v>
      </c>
      <c r="J20" s="2"/>
      <c r="K20" s="13"/>
      <c r="L20" s="36"/>
      <c r="M20" s="27"/>
      <c r="N20" s="27"/>
      <c r="O20" s="41"/>
      <c r="P20" s="34"/>
      <c r="Q20" s="41"/>
      <c r="R20" s="34"/>
      <c r="S20" s="27"/>
      <c r="T20" s="27"/>
      <c r="U20" s="27"/>
      <c r="V20" s="27"/>
      <c r="W20" s="27"/>
      <c r="X20" s="34"/>
      <c r="Y20" s="70" t="s">
        <v>55</v>
      </c>
      <c r="Z20" s="34">
        <f>Z17+Z19</f>
        <v>13821.095134482757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</row>
    <row r="21" spans="1:171" x14ac:dyDescent="0.2">
      <c r="A21" s="2"/>
      <c r="B21" s="2"/>
      <c r="C21" s="2"/>
      <c r="D21" s="8"/>
      <c r="E21" s="8"/>
      <c r="F21" s="8"/>
      <c r="G21" s="8"/>
      <c r="H21" s="59">
        <f>IF(H5=0,100,H20/H5)</f>
        <v>0.24634867901066718</v>
      </c>
      <c r="I21" s="2"/>
      <c r="J21" s="2"/>
      <c r="K21" s="13"/>
      <c r="L21" s="36"/>
      <c r="M21" s="27"/>
      <c r="N21" s="27"/>
      <c r="O21" s="41"/>
      <c r="P21" s="34"/>
      <c r="Q21" s="41"/>
      <c r="R21" s="34"/>
      <c r="S21" s="27"/>
      <c r="T21" s="27"/>
      <c r="U21" s="27"/>
      <c r="V21" s="27"/>
      <c r="W21" s="27"/>
      <c r="X21" s="34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</row>
    <row r="22" spans="1:171" x14ac:dyDescent="0.2">
      <c r="A22" s="2"/>
      <c r="B22" s="2"/>
      <c r="C22" s="2"/>
      <c r="D22" s="8"/>
      <c r="E22" s="58"/>
      <c r="F22" s="3"/>
      <c r="G22" s="3"/>
      <c r="H22" s="61"/>
      <c r="I22" s="2"/>
      <c r="J22" s="2"/>
      <c r="K22" s="13"/>
      <c r="L22" s="36"/>
      <c r="M22" s="27"/>
      <c r="N22" s="27"/>
      <c r="O22" s="41"/>
      <c r="P22" s="34"/>
      <c r="Q22" s="41"/>
      <c r="R22" s="3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</row>
    <row r="23" spans="1:171" x14ac:dyDescent="0.2">
      <c r="A23" s="2"/>
      <c r="B23" s="2"/>
      <c r="C23" s="2"/>
      <c r="D23" s="8"/>
      <c r="E23" s="60"/>
      <c r="F23" s="3"/>
      <c r="G23" s="3"/>
      <c r="H23" s="61"/>
      <c r="I23" s="3"/>
      <c r="J23" s="3"/>
      <c r="K23" s="12"/>
      <c r="L23" s="138"/>
      <c r="M23" s="139"/>
      <c r="N23" s="139"/>
      <c r="O23" s="41"/>
      <c r="P23" s="34"/>
      <c r="Q23" s="41"/>
      <c r="R23" s="3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</row>
    <row r="24" spans="1:171" x14ac:dyDescent="0.2">
      <c r="A24" s="2"/>
      <c r="B24" s="2"/>
      <c r="C24" s="2"/>
      <c r="D24" s="8"/>
      <c r="E24" s="8"/>
      <c r="F24" s="3"/>
      <c r="G24" s="3"/>
      <c r="H24" s="3"/>
      <c r="I24" s="3"/>
      <c r="J24" s="3"/>
      <c r="K24" s="12"/>
      <c r="L24" s="138"/>
      <c r="M24" s="139"/>
      <c r="N24" s="139"/>
      <c r="O24" s="43"/>
      <c r="P24" s="27"/>
      <c r="Q24" s="27"/>
      <c r="R24" s="27"/>
      <c r="S24" s="27"/>
      <c r="T24" s="34"/>
      <c r="U24" s="27"/>
      <c r="V24" s="34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</row>
    <row r="25" spans="1:171" x14ac:dyDescent="0.2">
      <c r="A25" s="2"/>
      <c r="B25" s="2"/>
      <c r="C25" s="2"/>
      <c r="D25" s="8"/>
      <c r="E25" s="8"/>
      <c r="F25" s="3"/>
      <c r="G25" s="3"/>
      <c r="H25" s="3"/>
      <c r="I25" s="3"/>
      <c r="J25" s="3"/>
      <c r="K25" s="12"/>
      <c r="L25" s="138"/>
      <c r="M25" s="139"/>
      <c r="N25" s="139"/>
      <c r="O25" s="43"/>
      <c r="P25" s="27"/>
      <c r="Q25" s="27"/>
      <c r="R25" s="27"/>
      <c r="S25" s="27"/>
      <c r="T25" s="27"/>
      <c r="U25" s="27"/>
      <c r="V25" s="34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</row>
    <row r="26" spans="1:171" x14ac:dyDescent="0.2">
      <c r="A26" s="2"/>
      <c r="B26" s="2"/>
      <c r="C26" s="2"/>
      <c r="D26" s="3"/>
      <c r="E26" s="8"/>
      <c r="F26" s="3"/>
      <c r="G26" s="3"/>
      <c r="H26" s="3"/>
      <c r="I26" s="3"/>
      <c r="J26" s="3"/>
      <c r="K26" s="12"/>
      <c r="L26" s="138"/>
      <c r="M26" s="139"/>
      <c r="N26" s="139"/>
      <c r="O26" s="43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</row>
    <row r="27" spans="1:171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12"/>
      <c r="L27" s="138"/>
      <c r="M27" s="139"/>
      <c r="N27" s="139"/>
      <c r="O27" s="4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</row>
    <row r="28" spans="1:171" x14ac:dyDescent="0.2">
      <c r="A28" s="2"/>
      <c r="B28" s="2"/>
      <c r="C28" s="2"/>
      <c r="D28" s="3"/>
      <c r="E28" s="3"/>
      <c r="F28" s="3"/>
      <c r="G28" s="3"/>
      <c r="H28" s="3"/>
      <c r="I28" s="3"/>
      <c r="J28" s="3"/>
      <c r="K28" s="12"/>
      <c r="L28" s="138"/>
      <c r="M28" s="139"/>
      <c r="N28" s="139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</row>
    <row r="29" spans="1:171" x14ac:dyDescent="0.2">
      <c r="A29" s="2"/>
      <c r="B29" s="2"/>
      <c r="C29" s="2"/>
      <c r="D29" s="3"/>
      <c r="E29" s="3"/>
      <c r="F29" s="3"/>
      <c r="G29" s="3"/>
      <c r="H29" s="3"/>
      <c r="I29" s="3"/>
      <c r="J29" s="3"/>
      <c r="K29" s="12"/>
      <c r="L29" s="138"/>
      <c r="M29" s="139"/>
      <c r="N29" s="139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</row>
    <row r="30" spans="1:171" x14ac:dyDescent="0.2">
      <c r="A30" s="2"/>
      <c r="B30" s="2"/>
      <c r="C30" s="2"/>
      <c r="D30" s="3"/>
      <c r="E30" s="3"/>
      <c r="F30" s="3"/>
      <c r="G30" s="3"/>
      <c r="H30" s="3"/>
      <c r="I30" s="3"/>
      <c r="J30" s="3"/>
      <c r="K30" s="12"/>
      <c r="L30" s="138"/>
      <c r="M30" s="139"/>
      <c r="N30" s="139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</row>
    <row r="31" spans="1:171" x14ac:dyDescent="0.2">
      <c r="A31" s="2"/>
      <c r="B31" s="2"/>
      <c r="C31" s="2"/>
      <c r="D31" s="3"/>
      <c r="E31" s="3"/>
      <c r="F31" s="3"/>
      <c r="G31" s="3"/>
      <c r="H31" s="3"/>
      <c r="I31" s="3"/>
      <c r="J31" s="3"/>
      <c r="K31" s="12"/>
      <c r="L31" s="138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</row>
    <row r="32" spans="1:171" x14ac:dyDescent="0.2">
      <c r="A32" s="2"/>
      <c r="B32" s="2"/>
      <c r="C32" s="2"/>
      <c r="D32" s="3"/>
      <c r="E32" s="3"/>
      <c r="F32" s="3"/>
      <c r="G32" s="3"/>
      <c r="H32" s="3"/>
      <c r="I32" s="3"/>
      <c r="J32" s="3"/>
      <c r="K32" s="12"/>
      <c r="L32" s="138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</row>
    <row r="33" spans="1:143" x14ac:dyDescent="0.2">
      <c r="A33" s="2"/>
      <c r="B33" s="2"/>
      <c r="C33" s="2"/>
      <c r="D33" s="3"/>
      <c r="E33" s="3"/>
      <c r="F33" s="3"/>
      <c r="G33" s="3"/>
      <c r="H33" s="3"/>
      <c r="I33" s="3"/>
      <c r="J33" s="3"/>
      <c r="K33" s="12"/>
      <c r="L33" s="138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</row>
    <row r="34" spans="1:143" x14ac:dyDescent="0.2">
      <c r="A34" s="2"/>
      <c r="B34" s="2"/>
      <c r="C34" s="2"/>
      <c r="D34" s="3"/>
      <c r="E34" s="3"/>
      <c r="F34" s="3"/>
      <c r="G34" s="3"/>
      <c r="H34" s="3"/>
      <c r="I34" s="3"/>
      <c r="J34" s="3"/>
      <c r="K34" s="12"/>
      <c r="L34" s="138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</row>
    <row r="35" spans="1:143" x14ac:dyDescent="0.2">
      <c r="A35" s="2"/>
      <c r="B35" s="2"/>
      <c r="C35" s="2"/>
      <c r="D35" s="3"/>
      <c r="E35" s="3"/>
      <c r="F35" s="3"/>
      <c r="G35" s="3"/>
      <c r="H35" s="3"/>
      <c r="I35" s="3"/>
      <c r="J35" s="3"/>
      <c r="K35" s="12"/>
      <c r="L35" s="138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</row>
    <row r="36" spans="1:143" x14ac:dyDescent="0.2">
      <c r="A36" s="2"/>
      <c r="B36" s="2"/>
      <c r="C36" s="2"/>
      <c r="D36" s="3"/>
      <c r="E36" s="3"/>
      <c r="F36" s="3"/>
      <c r="G36" s="3"/>
      <c r="H36" s="3"/>
      <c r="I36" s="3"/>
      <c r="J36" s="3"/>
      <c r="K36" s="12"/>
      <c r="L36" s="138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</row>
    <row r="37" spans="1:143" x14ac:dyDescent="0.2">
      <c r="A37" s="2"/>
      <c r="B37" s="2"/>
      <c r="C37" s="2"/>
      <c r="D37" s="3"/>
      <c r="E37" s="3"/>
      <c r="F37" s="3"/>
      <c r="G37" s="3"/>
      <c r="H37" s="3"/>
      <c r="I37" s="3"/>
      <c r="J37" s="3"/>
      <c r="K37" s="12"/>
      <c r="L37" s="138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</row>
    <row r="38" spans="1:143" x14ac:dyDescent="0.2">
      <c r="A38" s="2"/>
      <c r="B38" s="2"/>
      <c r="C38" s="2"/>
      <c r="D38" s="3"/>
      <c r="E38" s="3"/>
      <c r="F38" s="3"/>
      <c r="G38" s="3"/>
      <c r="H38" s="3"/>
      <c r="I38" s="3"/>
      <c r="J38" s="3"/>
      <c r="K38" s="12"/>
      <c r="L38" s="138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</row>
    <row r="39" spans="1:143" x14ac:dyDescent="0.2">
      <c r="A39" s="2"/>
      <c r="B39" s="2"/>
      <c r="C39" s="2"/>
      <c r="D39" s="3"/>
      <c r="E39" s="3"/>
      <c r="F39" s="3"/>
      <c r="G39" s="3"/>
      <c r="H39" s="3"/>
      <c r="I39" s="3"/>
      <c r="J39" s="3"/>
      <c r="K39" s="12"/>
      <c r="L39" s="138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</row>
    <row r="40" spans="1:143" x14ac:dyDescent="0.2">
      <c r="A40" s="2"/>
      <c r="B40" s="2"/>
      <c r="C40" s="2"/>
      <c r="D40" s="3"/>
      <c r="E40" s="3"/>
      <c r="F40" s="3"/>
      <c r="G40" s="3"/>
      <c r="H40" s="3"/>
      <c r="I40" s="3"/>
      <c r="J40" s="3"/>
      <c r="K40" s="12"/>
      <c r="L40" s="138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</row>
    <row r="41" spans="1:143" x14ac:dyDescent="0.2">
      <c r="A41" s="2"/>
      <c r="B41" s="2"/>
      <c r="C41" s="2"/>
      <c r="D41" s="3"/>
      <c r="E41" s="3"/>
      <c r="F41" s="3"/>
      <c r="G41" s="3"/>
      <c r="H41" s="3"/>
      <c r="I41" s="3"/>
      <c r="J41" s="3"/>
      <c r="K41" s="12"/>
      <c r="L41" s="138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</row>
    <row r="42" spans="1:143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12"/>
      <c r="L42" s="138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</row>
    <row r="43" spans="1:143" x14ac:dyDescent="0.2">
      <c r="A43" s="2"/>
      <c r="B43" s="2"/>
      <c r="C43" s="2"/>
      <c r="D43" s="3"/>
      <c r="E43" s="3"/>
      <c r="F43" s="3"/>
      <c r="G43" s="3"/>
      <c r="H43" s="3"/>
      <c r="I43" s="3"/>
      <c r="J43" s="3"/>
      <c r="K43" s="12"/>
      <c r="L43" s="138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</row>
    <row r="44" spans="1:143" x14ac:dyDescent="0.2">
      <c r="A44" s="2"/>
      <c r="B44" s="2"/>
      <c r="C44" s="2"/>
      <c r="D44" s="3"/>
      <c r="E44" s="3"/>
      <c r="F44" s="3"/>
      <c r="G44" s="3"/>
      <c r="H44" s="3"/>
      <c r="I44" s="3"/>
      <c r="J44" s="3"/>
      <c r="K44" s="12"/>
      <c r="L44" s="138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</row>
    <row r="45" spans="1:143" x14ac:dyDescent="0.2">
      <c r="A45" s="2"/>
      <c r="B45" s="2"/>
      <c r="C45" s="2"/>
      <c r="D45" s="3"/>
      <c r="E45" s="3"/>
      <c r="F45" s="3"/>
      <c r="G45" s="3"/>
      <c r="H45" s="3"/>
      <c r="I45" s="3"/>
      <c r="J45" s="3"/>
      <c r="K45" s="12"/>
      <c r="L45" s="138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</row>
    <row r="46" spans="1:143" x14ac:dyDescent="0.2">
      <c r="A46" s="2"/>
      <c r="B46" s="2"/>
      <c r="C46" s="2"/>
      <c r="D46" s="3"/>
      <c r="E46" s="3"/>
      <c r="F46" s="3"/>
      <c r="G46" s="3"/>
      <c r="H46" s="3"/>
      <c r="I46" s="3"/>
      <c r="J46" s="3"/>
      <c r="K46" s="12"/>
      <c r="L46" s="138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</row>
    <row r="47" spans="1:143" x14ac:dyDescent="0.2">
      <c r="A47" s="2"/>
      <c r="B47" s="2"/>
      <c r="C47" s="2"/>
      <c r="D47" s="3"/>
      <c r="E47" s="3"/>
      <c r="F47" s="3"/>
      <c r="G47" s="3"/>
      <c r="H47" s="3"/>
      <c r="I47" s="3"/>
      <c r="J47" s="3"/>
      <c r="K47" s="12"/>
      <c r="L47" s="138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</row>
    <row r="48" spans="1:143" x14ac:dyDescent="0.2">
      <c r="A48" s="2"/>
      <c r="B48" s="2"/>
      <c r="C48" s="2"/>
      <c r="D48" s="3"/>
      <c r="E48" s="3"/>
      <c r="F48" s="3"/>
      <c r="G48" s="3"/>
      <c r="H48" s="3"/>
      <c r="I48" s="3"/>
      <c r="J48" s="3"/>
      <c r="K48" s="12"/>
      <c r="L48" s="138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</row>
    <row r="49" spans="1:143" x14ac:dyDescent="0.2">
      <c r="A49" s="2"/>
      <c r="B49" s="2"/>
      <c r="C49" s="2"/>
      <c r="D49" s="3"/>
      <c r="E49" s="3"/>
      <c r="F49" s="3"/>
      <c r="G49" s="3"/>
      <c r="H49" s="3"/>
      <c r="I49" s="3"/>
      <c r="J49" s="3"/>
      <c r="K49" s="12"/>
      <c r="L49" s="138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</row>
    <row r="50" spans="1:143" x14ac:dyDescent="0.2">
      <c r="A50" s="2"/>
      <c r="B50" s="2"/>
      <c r="C50" s="2"/>
      <c r="D50" s="3"/>
      <c r="E50" s="3"/>
      <c r="F50" s="3"/>
      <c r="G50" s="3"/>
      <c r="H50" s="3"/>
      <c r="I50" s="3"/>
      <c r="J50" s="3"/>
      <c r="K50" s="12"/>
      <c r="L50" s="138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</row>
    <row r="51" spans="1:143" x14ac:dyDescent="0.2">
      <c r="A51" s="2"/>
      <c r="B51" s="2"/>
      <c r="C51" s="2"/>
      <c r="D51" s="3"/>
      <c r="E51" s="3"/>
      <c r="F51" s="3"/>
      <c r="G51" s="3"/>
      <c r="H51" s="3"/>
      <c r="I51" s="3"/>
      <c r="J51" s="3"/>
      <c r="K51" s="12"/>
      <c r="L51" s="138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</row>
    <row r="52" spans="1:143" x14ac:dyDescent="0.2">
      <c r="A52" s="2"/>
      <c r="B52" s="2"/>
      <c r="C52" s="2"/>
      <c r="D52" s="3"/>
      <c r="E52" s="3"/>
      <c r="F52" s="3"/>
      <c r="G52" s="3"/>
      <c r="H52" s="3"/>
      <c r="I52" s="3"/>
      <c r="J52" s="3"/>
      <c r="K52" s="12"/>
      <c r="L52" s="138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</row>
    <row r="53" spans="1:143" x14ac:dyDescent="0.2">
      <c r="A53" s="2"/>
      <c r="B53" s="2"/>
      <c r="C53" s="2"/>
      <c r="D53" s="3"/>
      <c r="E53" s="3"/>
      <c r="F53" s="3"/>
      <c r="G53" s="3"/>
      <c r="H53" s="3"/>
      <c r="I53" s="3"/>
      <c r="J53" s="3"/>
      <c r="K53" s="12"/>
      <c r="L53" s="138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</row>
    <row r="54" spans="1:143" x14ac:dyDescent="0.2">
      <c r="A54" s="2"/>
      <c r="B54" s="2"/>
      <c r="C54" s="2"/>
      <c r="D54" s="3"/>
      <c r="E54" s="3"/>
      <c r="F54" s="3"/>
      <c r="G54" s="3"/>
      <c r="H54" s="3"/>
      <c r="I54" s="3"/>
      <c r="J54" s="3"/>
      <c r="K54" s="12"/>
      <c r="L54" s="138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</row>
    <row r="55" spans="1:143" x14ac:dyDescent="0.2">
      <c r="A55" s="2"/>
      <c r="B55" s="2"/>
      <c r="C55" s="2"/>
      <c r="D55" s="3"/>
      <c r="E55" s="3"/>
      <c r="F55" s="3"/>
      <c r="G55" s="3"/>
      <c r="H55" s="3"/>
      <c r="I55" s="3"/>
      <c r="J55" s="3"/>
      <c r="K55" s="12"/>
      <c r="L55" s="138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</row>
    <row r="56" spans="1:143" x14ac:dyDescent="0.2">
      <c r="A56" s="2"/>
      <c r="B56" s="2"/>
      <c r="C56" s="2"/>
      <c r="D56" s="3"/>
      <c r="E56" s="3"/>
      <c r="F56" s="3"/>
      <c r="G56" s="3"/>
      <c r="H56" s="3"/>
      <c r="I56" s="3"/>
      <c r="J56" s="3"/>
      <c r="K56" s="12"/>
      <c r="L56" s="138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</row>
    <row r="57" spans="1:143" x14ac:dyDescent="0.2">
      <c r="A57" s="2"/>
      <c r="B57" s="2"/>
      <c r="C57" s="2"/>
      <c r="D57" s="3"/>
      <c r="E57" s="3"/>
      <c r="F57" s="3"/>
      <c r="G57" s="3"/>
      <c r="H57" s="3"/>
      <c r="I57" s="3"/>
      <c r="J57" s="3"/>
      <c r="K57" s="12"/>
      <c r="L57" s="138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</row>
    <row r="58" spans="1:143" x14ac:dyDescent="0.2">
      <c r="A58" s="2"/>
      <c r="B58" s="2"/>
      <c r="C58" s="2"/>
      <c r="D58" s="3"/>
      <c r="E58" s="3"/>
      <c r="F58" s="3"/>
      <c r="G58" s="3"/>
      <c r="H58" s="3"/>
      <c r="I58" s="3"/>
      <c r="J58" s="3"/>
      <c r="K58" s="12"/>
      <c r="L58" s="138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</row>
    <row r="59" spans="1:143" x14ac:dyDescent="0.2">
      <c r="A59" s="2"/>
      <c r="B59" s="2"/>
      <c r="C59" s="2"/>
      <c r="D59" s="3"/>
      <c r="E59" s="3"/>
      <c r="F59" s="3"/>
      <c r="G59" s="3"/>
      <c r="H59" s="3"/>
      <c r="I59" s="3"/>
      <c r="J59" s="3"/>
      <c r="K59" s="12"/>
      <c r="L59" s="138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</row>
    <row r="60" spans="1:143" x14ac:dyDescent="0.2">
      <c r="A60" s="2"/>
      <c r="B60" s="2"/>
      <c r="C60" s="2"/>
      <c r="D60" s="3"/>
      <c r="E60" s="3"/>
      <c r="F60" s="3"/>
      <c r="G60" s="3"/>
      <c r="H60" s="3"/>
      <c r="I60" s="3"/>
      <c r="J60" s="3"/>
      <c r="K60" s="12"/>
      <c r="L60" s="138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</row>
    <row r="61" spans="1:143" x14ac:dyDescent="0.2">
      <c r="A61" s="2"/>
      <c r="B61" s="2"/>
      <c r="C61" s="2"/>
      <c r="D61" s="3"/>
      <c r="E61" s="3"/>
      <c r="F61" s="3"/>
      <c r="G61" s="3"/>
      <c r="H61" s="3"/>
      <c r="I61" s="3"/>
      <c r="J61" s="3"/>
      <c r="K61" s="12"/>
      <c r="L61" s="138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</row>
    <row r="62" spans="1:143" x14ac:dyDescent="0.2">
      <c r="A62" s="2"/>
      <c r="B62" s="2"/>
      <c r="C62" s="2"/>
      <c r="D62" s="3"/>
      <c r="E62" s="3"/>
      <c r="F62" s="1"/>
      <c r="G62" s="1"/>
      <c r="H62" s="1"/>
      <c r="I62" s="3"/>
      <c r="J62" s="3"/>
      <c r="K62" s="12"/>
      <c r="L62" s="138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</row>
    <row r="63" spans="1:143" x14ac:dyDescent="0.2">
      <c r="A63" s="2"/>
      <c r="B63" s="2"/>
      <c r="C63" s="2"/>
      <c r="D63" s="3"/>
      <c r="E63" s="3"/>
      <c r="F63" s="1"/>
      <c r="G63" s="1"/>
      <c r="H63" s="1"/>
      <c r="I63" s="3"/>
      <c r="J63" s="3"/>
      <c r="K63" s="12"/>
      <c r="L63" s="138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</row>
    <row r="64" spans="1:143" x14ac:dyDescent="0.2">
      <c r="E64" s="3"/>
      <c r="F64" s="1"/>
      <c r="G64" s="1"/>
      <c r="H64" s="1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</row>
    <row r="65" spans="12:143" x14ac:dyDescent="0.2"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</row>
    <row r="66" spans="12:143" x14ac:dyDescent="0.2"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</row>
    <row r="67" spans="12:143" x14ac:dyDescent="0.2"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</row>
    <row r="68" spans="12:143" x14ac:dyDescent="0.2"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</row>
    <row r="69" spans="12:143" x14ac:dyDescent="0.2"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</row>
    <row r="70" spans="12:143" x14ac:dyDescent="0.2"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</row>
    <row r="71" spans="12:143" x14ac:dyDescent="0.2"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</row>
    <row r="72" spans="12:143" x14ac:dyDescent="0.2"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</row>
    <row r="73" spans="12:143" x14ac:dyDescent="0.2"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</row>
    <row r="74" spans="12:143" x14ac:dyDescent="0.2"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</row>
    <row r="75" spans="12:143" x14ac:dyDescent="0.2"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</row>
    <row r="76" spans="12:143" x14ac:dyDescent="0.2"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</row>
    <row r="77" spans="12:143" x14ac:dyDescent="0.2"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</row>
    <row r="78" spans="12:143" x14ac:dyDescent="0.2"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</row>
    <row r="79" spans="12:143" x14ac:dyDescent="0.2"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</row>
    <row r="80" spans="12:143" x14ac:dyDescent="0.2"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</row>
    <row r="81" spans="12:72" x14ac:dyDescent="0.2"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</row>
    <row r="82" spans="12:72" x14ac:dyDescent="0.2"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</row>
    <row r="83" spans="12:72" x14ac:dyDescent="0.2"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</row>
    <row r="84" spans="12:72" x14ac:dyDescent="0.2"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</row>
    <row r="85" spans="12:72" x14ac:dyDescent="0.2"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</row>
    <row r="86" spans="12:72" x14ac:dyDescent="0.2"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</row>
    <row r="87" spans="12:72" x14ac:dyDescent="0.2"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</row>
    <row r="88" spans="12:72" x14ac:dyDescent="0.2"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</row>
    <row r="89" spans="12:72" x14ac:dyDescent="0.2"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</row>
    <row r="90" spans="12:72" x14ac:dyDescent="0.2"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</row>
    <row r="91" spans="12:72" x14ac:dyDescent="0.2"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</row>
    <row r="92" spans="12:72" x14ac:dyDescent="0.2"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</row>
    <row r="93" spans="12:72" x14ac:dyDescent="0.2"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</row>
    <row r="94" spans="12:72" x14ac:dyDescent="0.2"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</row>
    <row r="95" spans="12:72" x14ac:dyDescent="0.2"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</row>
    <row r="96" spans="12:72" x14ac:dyDescent="0.2"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</row>
    <row r="97" spans="12:72" x14ac:dyDescent="0.2"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</row>
    <row r="98" spans="12:72" x14ac:dyDescent="0.2"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</row>
    <row r="99" spans="12:72" x14ac:dyDescent="0.2"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</row>
    <row r="100" spans="12:72" x14ac:dyDescent="0.2"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</row>
    <row r="101" spans="12:72" x14ac:dyDescent="0.2"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</row>
    <row r="102" spans="12:72" x14ac:dyDescent="0.2"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</row>
    <row r="103" spans="12:72" x14ac:dyDescent="0.2"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</row>
    <row r="104" spans="12:72" x14ac:dyDescent="0.2"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</row>
    <row r="105" spans="12:72" x14ac:dyDescent="0.2"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</row>
    <row r="106" spans="12:72" x14ac:dyDescent="0.2"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</row>
    <row r="107" spans="12:72" x14ac:dyDescent="0.2"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</row>
  </sheetData>
  <sheetProtection algorithmName="SHA-512" hashValue="Ln8jN3pBVfHhzv+xmgJIa9js1sw53n2hnh3WncezgItb01pQa9OqaCvipxavUk5UrzMWeIgSwZdM7qXw2PZLPA==" saltValue="Ds1Cw1tlJy29FvfVFz28ig==" spinCount="100000" sheet="1" selectLockedCells="1"/>
  <mergeCells count="14">
    <mergeCell ref="O18:P18"/>
    <mergeCell ref="Q18:R18"/>
    <mergeCell ref="D1:T1"/>
    <mergeCell ref="AD4:AE4"/>
    <mergeCell ref="E17:G17"/>
    <mergeCell ref="F10:H10"/>
    <mergeCell ref="E11:G11"/>
    <mergeCell ref="F18:G18"/>
    <mergeCell ref="E2:E3"/>
    <mergeCell ref="F2:H2"/>
    <mergeCell ref="F4:H4"/>
    <mergeCell ref="F5:G5"/>
    <mergeCell ref="F6:G6"/>
    <mergeCell ref="F7:G7"/>
  </mergeCells>
  <phoneticPr fontId="1" type="noConversion"/>
  <conditionalFormatting sqref="H17:H18 E22">
    <cfRule type="cellIs" dxfId="21" priority="26" stopIfTrue="1" operator="lessThan">
      <formula>0</formula>
    </cfRule>
  </conditionalFormatting>
  <conditionalFormatting sqref="H22:H23 O24:O27">
    <cfRule type="cellIs" dxfId="20" priority="25" stopIfTrue="1" operator="equal">
      <formula>0</formula>
    </cfRule>
  </conditionalFormatting>
  <conditionalFormatting sqref="I6">
    <cfRule type="cellIs" dxfId="19" priority="6" operator="equal">
      <formula>FALSE</formula>
    </cfRule>
    <cfRule type="cellIs" dxfId="18" priority="17" operator="equal">
      <formula>"ou menor"</formula>
    </cfRule>
  </conditionalFormatting>
  <conditionalFormatting sqref="I9">
    <cfRule type="cellIs" dxfId="17" priority="5" operator="equal">
      <formula>FALSE</formula>
    </cfRule>
    <cfRule type="cellIs" dxfId="16" priority="7" operator="equal">
      <formula>"ou menor"</formula>
    </cfRule>
  </conditionalFormatting>
  <conditionalFormatting sqref="I10">
    <cfRule type="cellIs" dxfId="15" priority="8" operator="equal">
      <formula>"ou menor"</formula>
    </cfRule>
  </conditionalFormatting>
  <conditionalFormatting sqref="I17">
    <cfRule type="cellIs" dxfId="14" priority="1" operator="equal">
      <formula>FALSE</formula>
    </cfRule>
    <cfRule type="cellIs" dxfId="13" priority="2" operator="equal">
      <formula>"ou menor"</formula>
    </cfRule>
  </conditionalFormatting>
  <conditionalFormatting sqref="I20">
    <cfRule type="cellIs" dxfId="12" priority="14" operator="equal">
      <formula>FALSE</formula>
    </cfRule>
    <cfRule type="cellIs" dxfId="11" priority="15" operator="equal">
      <formula>"isento"</formula>
    </cfRule>
  </conditionalFormatting>
  <conditionalFormatting sqref="V6">
    <cfRule type="cellIs" dxfId="10" priority="23" stopIfTrue="1" operator="equal">
      <formula>FALSE</formula>
    </cfRule>
  </conditionalFormatting>
  <conditionalFormatting sqref="V11:V15 X11:AE15 AM11:AO15 AQ11:AQ15 AR11:AR16 H12:H16 W15 AP16">
    <cfRule type="cellIs" dxfId="9" priority="22" stopIfTrue="1" operator="equal">
      <formula>0</formula>
    </cfRule>
  </conditionalFormatting>
  <conditionalFormatting sqref="W11:W14">
    <cfRule type="cellIs" dxfId="8" priority="24" stopIfTrue="1" operator="greaterThan">
      <formula>"$I$5"</formula>
    </cfRule>
  </conditionalFormatting>
  <conditionalFormatting sqref="AS11:AV15">
    <cfRule type="cellIs" dxfId="7" priority="2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761F-3C6D-41FD-9105-13CB27E4304F}">
  <dimension ref="A1:DF72"/>
  <sheetViews>
    <sheetView topLeftCell="C1" zoomScale="120" zoomScaleNormal="120" workbookViewId="0">
      <selection activeCell="H8" sqref="H8"/>
    </sheetView>
  </sheetViews>
  <sheetFormatPr defaultRowHeight="12.75" x14ac:dyDescent="0.2"/>
  <cols>
    <col min="3" max="3" width="10.28515625" customWidth="1"/>
    <col min="6" max="8" width="15.42578125" customWidth="1"/>
    <col min="13" max="13" width="17.140625" customWidth="1"/>
    <col min="24" max="24" width="10" bestFit="1" customWidth="1"/>
    <col min="25" max="25" width="11.5703125" bestFit="1" customWidth="1"/>
    <col min="26" max="26" width="11.28515625" bestFit="1" customWidth="1"/>
    <col min="27" max="27" width="11.5703125" bestFit="1" customWidth="1"/>
  </cols>
  <sheetData>
    <row r="1" spans="1:110" ht="13.5" thickBot="1" x14ac:dyDescent="0.25">
      <c r="A1" s="2"/>
      <c r="B1" s="2"/>
      <c r="C1" s="2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 ht="16.5" thickBot="1" x14ac:dyDescent="0.3">
      <c r="A2" s="2"/>
      <c r="B2" s="2"/>
      <c r="C2" s="2"/>
      <c r="D2" s="4"/>
      <c r="E2" s="96"/>
      <c r="F2" s="89" t="s">
        <v>34</v>
      </c>
      <c r="G2" s="90"/>
      <c r="H2" s="91"/>
      <c r="I2" s="3"/>
      <c r="J2" s="3"/>
      <c r="K2" s="12"/>
      <c r="L2" s="12"/>
      <c r="M2" s="3"/>
      <c r="N2" s="3"/>
      <c r="O2" s="3"/>
      <c r="P2" s="3"/>
      <c r="Q2" s="3"/>
      <c r="R2" s="3"/>
      <c r="S2" s="3"/>
      <c r="T2" s="2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1:110" ht="15.75" thickBot="1" x14ac:dyDescent="0.25">
      <c r="A3" s="2"/>
      <c r="B3" s="2"/>
      <c r="C3" s="2"/>
      <c r="D3" s="4"/>
      <c r="E3" s="96"/>
      <c r="F3" s="5"/>
      <c r="G3" s="5"/>
      <c r="H3" s="5"/>
      <c r="I3" s="3"/>
      <c r="J3" s="3"/>
      <c r="K3" s="12"/>
      <c r="L3" s="12"/>
      <c r="M3" s="3"/>
      <c r="N3" s="3"/>
      <c r="O3" s="3"/>
      <c r="P3" s="3"/>
      <c r="Q3" s="3"/>
      <c r="R3" s="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</row>
    <row r="4" spans="1:110" ht="16.5" thickBot="1" x14ac:dyDescent="0.3">
      <c r="A4" s="2"/>
      <c r="B4" s="2"/>
      <c r="C4" s="2"/>
      <c r="D4" s="4"/>
      <c r="E4" s="6"/>
      <c r="F4" s="125" t="s">
        <v>61</v>
      </c>
      <c r="G4" s="128"/>
      <c r="H4" s="129"/>
      <c r="I4" s="3"/>
      <c r="J4" s="3"/>
      <c r="K4" s="12"/>
      <c r="L4" s="12"/>
      <c r="M4" s="2"/>
      <c r="N4" s="2"/>
      <c r="O4" s="2"/>
      <c r="P4" s="3"/>
      <c r="Q4" s="3"/>
      <c r="R4" s="3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</row>
    <row r="5" spans="1:110" ht="15.75" thickBot="1" x14ac:dyDescent="0.25">
      <c r="A5" s="2"/>
      <c r="B5" s="2"/>
      <c r="C5" s="2"/>
      <c r="D5" s="4"/>
      <c r="E5" s="6"/>
      <c r="F5" s="116" t="s">
        <v>35</v>
      </c>
      <c r="G5" s="99"/>
      <c r="H5" s="72">
        <f>Ativos!W18</f>
        <v>877.23707724100723</v>
      </c>
      <c r="I5" s="130"/>
      <c r="J5" s="130"/>
      <c r="K5" s="130"/>
      <c r="L5" s="73"/>
      <c r="M5" s="2"/>
      <c r="N5" s="2"/>
      <c r="O5" s="2"/>
      <c r="P5" s="2"/>
      <c r="Q5" s="2"/>
      <c r="R5" s="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</row>
    <row r="6" spans="1:110" ht="15.75" thickBot="1" x14ac:dyDescent="0.25">
      <c r="A6" s="2"/>
      <c r="B6" s="2"/>
      <c r="C6" s="2"/>
      <c r="D6" s="4"/>
      <c r="E6" s="6"/>
      <c r="F6" s="116" t="s">
        <v>36</v>
      </c>
      <c r="G6" s="100"/>
      <c r="H6" s="74">
        <f>Ativos!P18</f>
        <v>7507.49</v>
      </c>
      <c r="I6" s="118"/>
      <c r="J6" s="119"/>
      <c r="K6" s="119"/>
      <c r="L6" s="120"/>
      <c r="M6" s="2"/>
      <c r="N6" s="2"/>
      <c r="O6" s="2"/>
      <c r="P6" s="2"/>
      <c r="Q6" s="2"/>
      <c r="R6" s="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</row>
    <row r="7" spans="1:110" ht="15.75" thickBot="1" x14ac:dyDescent="0.25">
      <c r="A7" s="2"/>
      <c r="B7" s="2"/>
      <c r="C7" s="2"/>
      <c r="D7" s="4"/>
      <c r="E7" s="6"/>
      <c r="F7" s="116" t="s">
        <v>37</v>
      </c>
      <c r="G7" s="117"/>
      <c r="H7" s="23">
        <v>13273.51</v>
      </c>
      <c r="I7" s="118" t="b">
        <f>IF(H7&lt;H6,"Erro: Remuneração tem que ser maior que o Teto")</f>
        <v>0</v>
      </c>
      <c r="J7" s="124"/>
      <c r="K7" s="124"/>
      <c r="L7" s="124"/>
      <c r="M7" s="124"/>
      <c r="N7" s="2"/>
      <c r="O7" s="2"/>
      <c r="P7" s="2"/>
      <c r="Q7" s="2"/>
      <c r="R7" s="2"/>
      <c r="S7" s="27"/>
      <c r="T7" s="27"/>
      <c r="U7" s="27"/>
      <c r="V7" s="27"/>
      <c r="W7" s="27"/>
      <c r="X7" s="87"/>
      <c r="Y7" s="34"/>
      <c r="Z7" s="34"/>
      <c r="AA7" s="34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</row>
    <row r="8" spans="1:110" ht="15.75" thickBot="1" x14ac:dyDescent="0.25">
      <c r="A8" s="2"/>
      <c r="B8" s="2"/>
      <c r="C8" s="2"/>
      <c r="D8" s="4"/>
      <c r="E8" s="6"/>
      <c r="F8" s="77"/>
      <c r="G8" s="71" t="s">
        <v>38</v>
      </c>
      <c r="H8" s="24">
        <v>8.5000000000000006E-2</v>
      </c>
      <c r="I8" s="78"/>
      <c r="J8" s="75"/>
      <c r="K8" s="75"/>
      <c r="L8" s="15"/>
      <c r="M8" s="2"/>
      <c r="N8" s="2"/>
      <c r="O8" s="2"/>
      <c r="P8" s="2"/>
      <c r="Q8" s="2"/>
      <c r="R8" s="2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1:110" ht="15.75" thickBot="1" x14ac:dyDescent="0.25">
      <c r="A9" s="2"/>
      <c r="B9" s="2"/>
      <c r="C9" s="2"/>
      <c r="D9" s="4"/>
      <c r="E9" s="6"/>
      <c r="F9" s="77"/>
      <c r="G9" s="71" t="s">
        <v>39</v>
      </c>
      <c r="H9" s="19">
        <f>IF(((H7-H6)*H8)&lt;0,0,((H7-H6)*H8))</f>
        <v>490.1117000000001</v>
      </c>
      <c r="I9" s="78"/>
      <c r="J9" s="75"/>
      <c r="K9" s="75"/>
      <c r="L9" s="15"/>
      <c r="M9" s="2"/>
      <c r="N9" s="2"/>
      <c r="O9" s="2"/>
      <c r="P9" s="2"/>
      <c r="Q9" s="2"/>
      <c r="R9" s="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</row>
    <row r="10" spans="1:110" ht="15.75" thickBot="1" x14ac:dyDescent="0.25">
      <c r="A10" s="2"/>
      <c r="B10" s="2"/>
      <c r="C10" s="2"/>
      <c r="D10" s="4"/>
      <c r="E10" s="6"/>
      <c r="F10" s="121" t="s">
        <v>60</v>
      </c>
      <c r="G10" s="122"/>
      <c r="H10" s="79">
        <f>H5+H9</f>
        <v>1367.3487772410074</v>
      </c>
      <c r="I10" s="78"/>
      <c r="J10" s="75"/>
      <c r="K10" s="75"/>
      <c r="L10" s="15"/>
      <c r="M10" s="2"/>
      <c r="N10" s="2"/>
      <c r="O10" s="2"/>
      <c r="P10" s="2"/>
      <c r="Q10" s="2"/>
      <c r="R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</row>
    <row r="11" spans="1:110" ht="16.5" thickTop="1" thickBot="1" x14ac:dyDescent="0.25">
      <c r="A11" s="2"/>
      <c r="B11" s="2"/>
      <c r="C11" s="2"/>
      <c r="D11" s="4"/>
      <c r="E11" s="6"/>
      <c r="F11" s="21"/>
      <c r="G11" s="21"/>
      <c r="H11" s="80"/>
      <c r="I11" s="78"/>
      <c r="J11" s="75"/>
      <c r="K11" s="75"/>
      <c r="L11" s="15"/>
      <c r="M11" s="2"/>
      <c r="N11" s="2"/>
      <c r="O11" s="2"/>
      <c r="P11" s="2"/>
      <c r="Q11" s="2"/>
      <c r="R11" s="2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</row>
    <row r="12" spans="1:110" ht="16.5" thickBot="1" x14ac:dyDescent="0.3">
      <c r="A12" s="2"/>
      <c r="B12" s="2"/>
      <c r="C12" s="2"/>
      <c r="D12" s="4"/>
      <c r="E12" s="6"/>
      <c r="F12" s="125" t="s">
        <v>59</v>
      </c>
      <c r="G12" s="126"/>
      <c r="H12" s="127"/>
      <c r="I12" s="78"/>
      <c r="J12" s="75"/>
      <c r="K12" s="75"/>
      <c r="L12" s="15"/>
      <c r="M12" s="2"/>
      <c r="N12" s="2"/>
      <c r="O12" s="2"/>
      <c r="P12" s="2"/>
      <c r="Q12" s="2"/>
      <c r="R12" s="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</row>
    <row r="13" spans="1:110" ht="15.75" thickBot="1" x14ac:dyDescent="0.25">
      <c r="A13" s="2"/>
      <c r="B13" s="2"/>
      <c r="C13" s="2"/>
      <c r="D13" s="4"/>
      <c r="E13" s="6"/>
      <c r="F13" s="116" t="s">
        <v>35</v>
      </c>
      <c r="G13" s="117"/>
      <c r="H13" s="81">
        <f>Ativos!AM15+Ativos!AM16+Ativos!AM17+Ativos!AM18</f>
        <v>876.96707724100725</v>
      </c>
      <c r="I13" s="78"/>
      <c r="J13" s="75"/>
      <c r="K13" s="75"/>
      <c r="L13" s="15"/>
      <c r="M13" s="2"/>
      <c r="N13" s="2"/>
      <c r="O13" s="2"/>
      <c r="P13" s="2"/>
      <c r="Q13" s="2"/>
      <c r="R13" s="2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1:110" ht="15.75" thickBot="1" x14ac:dyDescent="0.25">
      <c r="A14" s="2"/>
      <c r="B14" s="2"/>
      <c r="C14" s="2"/>
      <c r="D14" s="4"/>
      <c r="E14" s="6"/>
      <c r="F14" s="116" t="s">
        <v>36</v>
      </c>
      <c r="G14" s="117"/>
      <c r="H14" s="74">
        <f>Ativos!AG18</f>
        <v>7507.49</v>
      </c>
      <c r="I14" s="78"/>
      <c r="J14" s="75"/>
      <c r="K14" s="75"/>
      <c r="L14" s="15"/>
      <c r="M14" s="2"/>
      <c r="N14" s="2"/>
      <c r="O14" s="2"/>
      <c r="P14" s="2"/>
      <c r="Q14" s="2"/>
      <c r="R14" s="2"/>
      <c r="S14" s="27"/>
      <c r="T14" s="27"/>
      <c r="U14" s="27"/>
      <c r="V14" s="27"/>
      <c r="W14" s="27"/>
      <c r="X14" s="27"/>
      <c r="Y14" s="27"/>
      <c r="Z14" s="27" t="s">
        <v>41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:110" ht="15.75" thickBot="1" x14ac:dyDescent="0.25">
      <c r="A15" s="2"/>
      <c r="B15" s="2"/>
      <c r="C15" s="2"/>
      <c r="D15" s="4"/>
      <c r="E15" s="6"/>
      <c r="F15" s="82"/>
      <c r="G15" s="76" t="s">
        <v>62</v>
      </c>
      <c r="H15" s="83">
        <f>H7+(H7*Ativos!Z25)</f>
        <v>14468.125900000001</v>
      </c>
      <c r="I15" s="118" t="b">
        <f>IF(H7&lt;H14,"Atenção: Remuneração é menor que o novo Teto")</f>
        <v>0</v>
      </c>
      <c r="J15" s="124"/>
      <c r="K15" s="124"/>
      <c r="L15" s="124"/>
      <c r="M15" s="124"/>
      <c r="N15" s="2"/>
      <c r="O15" s="2"/>
      <c r="P15" s="2"/>
      <c r="Q15" s="2"/>
      <c r="R15" s="2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</row>
    <row r="16" spans="1:110" ht="15.75" thickBot="1" x14ac:dyDescent="0.25">
      <c r="A16" s="2"/>
      <c r="B16" s="2"/>
      <c r="C16" s="2"/>
      <c r="D16" s="4"/>
      <c r="E16" s="6"/>
      <c r="F16" s="123" t="s">
        <v>39</v>
      </c>
      <c r="G16" s="117"/>
      <c r="H16" s="19">
        <f>IF(((H15-H14)*H8)&lt;0,0,((H15-H14)*H8))</f>
        <v>591.65405150000015</v>
      </c>
      <c r="I16" s="118" t="b">
        <f>IF(H7&lt;H14,"Há perda de contrapartida patronal")</f>
        <v>0</v>
      </c>
      <c r="J16" s="124"/>
      <c r="K16" s="124"/>
      <c r="L16" s="124"/>
      <c r="M16" s="124"/>
      <c r="N16" s="2"/>
      <c r="O16" s="2"/>
      <c r="P16" s="2"/>
      <c r="Q16" s="2"/>
      <c r="R16" s="2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</row>
    <row r="17" spans="1:110" ht="13.5" thickBot="1" x14ac:dyDescent="0.25">
      <c r="A17" s="2"/>
      <c r="B17" s="2"/>
      <c r="C17" s="2"/>
      <c r="D17" s="9"/>
      <c r="E17" s="16"/>
      <c r="F17" s="98" t="s">
        <v>44</v>
      </c>
      <c r="G17" s="117"/>
      <c r="H17" s="19">
        <f>H16+H13</f>
        <v>1468.6211287410074</v>
      </c>
      <c r="I17" s="2"/>
      <c r="J17" s="2"/>
      <c r="K17" s="13"/>
      <c r="L17" s="15"/>
      <c r="M17" s="13"/>
      <c r="N17" s="13"/>
      <c r="O17" s="2"/>
      <c r="P17" s="84"/>
      <c r="Q17" s="2"/>
      <c r="R17" s="7"/>
      <c r="S17" s="34"/>
      <c r="T17" s="38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</row>
    <row r="18" spans="1:110" ht="13.5" thickBot="1" x14ac:dyDescent="0.25">
      <c r="A18" s="2"/>
      <c r="B18" s="2"/>
      <c r="C18" s="2"/>
      <c r="D18" s="8"/>
      <c r="E18" s="25"/>
      <c r="F18" s="16"/>
      <c r="G18" s="17"/>
      <c r="H18" s="18"/>
      <c r="I18" s="2"/>
      <c r="J18" s="2"/>
      <c r="K18" s="13"/>
      <c r="L18" s="13"/>
      <c r="M18" s="2"/>
      <c r="N18" s="2"/>
      <c r="O18" s="2"/>
      <c r="P18" s="2"/>
      <c r="Q18" s="2"/>
      <c r="R18" s="2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</row>
    <row r="19" spans="1:110" ht="16.5" thickBot="1" x14ac:dyDescent="0.3">
      <c r="A19" s="2"/>
      <c r="B19" s="2"/>
      <c r="C19" s="2"/>
      <c r="D19" s="8"/>
      <c r="E19" s="85"/>
      <c r="F19" s="22"/>
      <c r="G19" s="86" t="s">
        <v>33</v>
      </c>
      <c r="H19" s="10">
        <f>H17-H10</f>
        <v>101.27235150000001</v>
      </c>
      <c r="I19" s="2"/>
      <c r="J19" s="2"/>
      <c r="K19" s="13"/>
      <c r="L19" s="13"/>
      <c r="M19" s="2"/>
      <c r="N19" s="2"/>
      <c r="O19" s="2"/>
      <c r="P19" s="2"/>
      <c r="Q19" s="2"/>
      <c r="R19" s="3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</row>
    <row r="20" spans="1:110" ht="15.75" thickBot="1" x14ac:dyDescent="0.3">
      <c r="A20" s="2"/>
      <c r="B20" s="2"/>
      <c r="C20" s="2"/>
      <c r="D20" s="3"/>
      <c r="E20" s="3"/>
      <c r="F20" s="26"/>
      <c r="G20" s="26"/>
      <c r="H20" s="20">
        <f>H19/H10</f>
        <v>7.4064754498368829E-2</v>
      </c>
      <c r="I20" s="3"/>
      <c r="J20" s="3"/>
      <c r="K20" s="12"/>
      <c r="L20" s="12"/>
      <c r="M20" s="3"/>
      <c r="N20" s="3"/>
      <c r="O20" s="3"/>
      <c r="P20" s="3"/>
      <c r="Q20" s="3"/>
      <c r="R20" s="3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</row>
    <row r="21" spans="1:110" x14ac:dyDescent="0.2">
      <c r="A21" s="2"/>
      <c r="B21" s="2"/>
      <c r="C21" s="2"/>
      <c r="D21" s="3"/>
      <c r="E21" s="3"/>
      <c r="F21" s="3"/>
      <c r="G21" s="3"/>
      <c r="H21" s="3"/>
      <c r="I21" s="3"/>
      <c r="J21" s="3"/>
      <c r="K21" s="12"/>
      <c r="L21" s="12"/>
      <c r="M21" s="3"/>
      <c r="N21" s="3"/>
      <c r="O21" s="3"/>
      <c r="P21" s="3"/>
      <c r="Q21" s="3"/>
      <c r="R21" s="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</row>
    <row r="22" spans="1:110" x14ac:dyDescent="0.2">
      <c r="A22" s="2"/>
      <c r="B22" s="2"/>
      <c r="C22" s="2"/>
      <c r="D22" s="3"/>
      <c r="E22" s="3"/>
      <c r="F22" s="1"/>
      <c r="G22" s="1"/>
      <c r="H22" s="3"/>
      <c r="I22" s="3"/>
      <c r="J22" s="3"/>
      <c r="K22" s="12"/>
      <c r="L22" s="12"/>
      <c r="M22" s="3"/>
      <c r="N22" s="3"/>
      <c r="O22" s="3"/>
      <c r="P22" s="3"/>
      <c r="Q22" s="3"/>
      <c r="R22" s="3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</row>
    <row r="23" spans="1:110" x14ac:dyDescent="0.2">
      <c r="A23" s="2"/>
      <c r="B23" s="2"/>
      <c r="C23" s="2"/>
      <c r="D23" s="3"/>
      <c r="E23" s="3"/>
      <c r="F23" s="1"/>
      <c r="G23" s="1"/>
      <c r="H23" s="1"/>
      <c r="I23" s="3"/>
      <c r="J23" s="3"/>
      <c r="K23" s="12"/>
      <c r="L23" s="12"/>
      <c r="M23" s="3"/>
      <c r="N23" s="3"/>
      <c r="O23" s="3"/>
      <c r="P23" s="3"/>
      <c r="Q23" s="3"/>
      <c r="R23" s="3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</row>
    <row r="24" spans="1:110" x14ac:dyDescent="0.2">
      <c r="A24" s="2"/>
      <c r="B24" s="2"/>
      <c r="C24" s="2"/>
      <c r="D24" s="3"/>
      <c r="E24" s="3"/>
      <c r="F24" s="1"/>
      <c r="G24" s="1"/>
      <c r="H24" s="1"/>
      <c r="I24" s="3"/>
      <c r="J24" s="3"/>
      <c r="K24" s="12"/>
      <c r="L24" s="12"/>
      <c r="M24" s="3"/>
      <c r="N24" s="3"/>
      <c r="O24" s="3"/>
      <c r="P24" s="3"/>
      <c r="Q24" s="3"/>
      <c r="R24" s="3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</row>
    <row r="25" spans="1:110" x14ac:dyDescent="0.2">
      <c r="A25" s="2"/>
      <c r="B25" s="2"/>
      <c r="C25" s="2"/>
      <c r="D25" s="3"/>
      <c r="E25" s="3"/>
      <c r="F25" s="1"/>
      <c r="G25" s="1"/>
      <c r="H25" s="1"/>
      <c r="I25" s="3"/>
      <c r="J25" s="3"/>
      <c r="K25" s="12"/>
      <c r="L25" s="12"/>
      <c r="M25" s="3"/>
      <c r="N25" s="3"/>
      <c r="O25" s="3"/>
      <c r="P25" s="3"/>
      <c r="Q25" s="3"/>
      <c r="R25" s="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</row>
    <row r="26" spans="1:110" x14ac:dyDescent="0.2">
      <c r="A26" s="2"/>
      <c r="B26" s="2"/>
      <c r="C26" s="2"/>
      <c r="D26" s="3"/>
      <c r="E26" s="3"/>
      <c r="F26" s="1"/>
      <c r="G26" s="1"/>
      <c r="H26" s="1"/>
      <c r="I26" s="1"/>
      <c r="J26" s="1"/>
      <c r="K26" s="14"/>
      <c r="L26" s="12"/>
      <c r="M26" s="3"/>
      <c r="N26" s="3"/>
      <c r="O26" s="3"/>
      <c r="P26" s="3"/>
      <c r="Q26" s="3"/>
      <c r="R26" s="3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</row>
    <row r="27" spans="1:110" x14ac:dyDescent="0.2">
      <c r="D27" s="1"/>
      <c r="E27" s="1"/>
      <c r="F27" s="1"/>
      <c r="G27" s="1"/>
      <c r="H27" s="1"/>
      <c r="I27" s="1"/>
      <c r="J27" s="1"/>
      <c r="K27" s="14"/>
      <c r="L27" s="14"/>
      <c r="M27" s="1"/>
      <c r="N27" s="1"/>
      <c r="O27" s="1"/>
      <c r="P27" s="1"/>
      <c r="Q27" s="1"/>
      <c r="R27" s="1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</row>
    <row r="28" spans="1:110" x14ac:dyDescent="0.2">
      <c r="D28" s="1"/>
      <c r="E28" s="1"/>
      <c r="F28" s="1"/>
      <c r="G28" s="1"/>
      <c r="H28" s="1"/>
      <c r="I28" s="1"/>
      <c r="J28" s="1"/>
      <c r="K28" s="14"/>
      <c r="L28" s="14"/>
      <c r="M28" s="1"/>
      <c r="N28" s="1"/>
      <c r="O28" s="1"/>
      <c r="P28" s="1"/>
      <c r="Q28" s="1"/>
      <c r="R28" s="1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</row>
    <row r="29" spans="1:110" x14ac:dyDescent="0.2">
      <c r="D29" s="1"/>
      <c r="E29" s="1"/>
      <c r="F29" s="1"/>
      <c r="G29" s="1"/>
      <c r="H29" s="1"/>
      <c r="I29" s="1"/>
      <c r="J29" s="1"/>
      <c r="K29" s="14"/>
      <c r="L29" s="14"/>
      <c r="M29" s="1"/>
      <c r="N29" s="1"/>
      <c r="O29" s="1"/>
      <c r="P29" s="1"/>
      <c r="Q29" s="1"/>
      <c r="R29" s="1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</row>
    <row r="30" spans="1:110" x14ac:dyDescent="0.2">
      <c r="D30" s="1"/>
      <c r="E30" s="1"/>
      <c r="F30" s="1"/>
      <c r="G30" s="1"/>
      <c r="H30" s="1"/>
      <c r="I30" s="1"/>
      <c r="J30" s="1"/>
      <c r="K30" s="14"/>
      <c r="L30" s="14"/>
      <c r="M30" s="1"/>
      <c r="N30" s="1"/>
      <c r="O30" s="1"/>
      <c r="P30" s="1"/>
      <c r="Q30" s="1"/>
      <c r="R30" s="1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</row>
    <row r="31" spans="1:110" x14ac:dyDescent="0.2">
      <c r="D31" s="1"/>
      <c r="E31" s="1"/>
      <c r="F31" s="1"/>
      <c r="G31" s="1"/>
      <c r="H31" s="1"/>
      <c r="I31" s="1"/>
      <c r="J31" s="1"/>
      <c r="K31" s="14"/>
      <c r="L31" s="14"/>
      <c r="M31" s="1"/>
      <c r="N31" s="1"/>
      <c r="O31" s="1"/>
      <c r="P31" s="1"/>
      <c r="Q31" s="1"/>
      <c r="R31" s="1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</row>
    <row r="32" spans="1:110" x14ac:dyDescent="0.2">
      <c r="D32" s="1"/>
      <c r="E32" s="1"/>
      <c r="F32" s="1"/>
      <c r="G32" s="1"/>
      <c r="H32" s="1"/>
      <c r="I32" s="1"/>
      <c r="J32" s="1"/>
      <c r="K32" s="14"/>
      <c r="L32" s="14"/>
      <c r="M32" s="1"/>
      <c r="N32" s="1"/>
      <c r="O32" s="1"/>
      <c r="P32" s="1"/>
      <c r="Q32" s="1"/>
      <c r="R32" s="1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</row>
    <row r="33" spans="4:110" x14ac:dyDescent="0.2">
      <c r="D33" s="1"/>
      <c r="E33" s="1"/>
      <c r="F33" s="1"/>
      <c r="G33" s="1"/>
      <c r="H33" s="1"/>
      <c r="I33" s="1"/>
      <c r="J33" s="1"/>
      <c r="K33" s="14"/>
      <c r="L33" s="14"/>
      <c r="M33" s="1"/>
      <c r="N33" s="1"/>
      <c r="O33" s="1"/>
      <c r="P33" s="1"/>
      <c r="Q33" s="1"/>
      <c r="R33" s="1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</row>
    <row r="34" spans="4:110" x14ac:dyDescent="0.2">
      <c r="D34" s="1"/>
      <c r="E34" s="1"/>
      <c r="F34" s="1"/>
      <c r="G34" s="1"/>
      <c r="H34" s="1"/>
      <c r="I34" s="1"/>
      <c r="J34" s="1"/>
      <c r="K34" s="14"/>
      <c r="L34" s="14"/>
      <c r="M34" s="1"/>
      <c r="N34" s="1"/>
      <c r="O34" s="1"/>
      <c r="P34" s="1"/>
      <c r="Q34" s="1"/>
      <c r="R34" s="1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</row>
    <row r="35" spans="4:110" x14ac:dyDescent="0.2">
      <c r="D35" s="1"/>
      <c r="E35" s="1"/>
      <c r="F35" s="1"/>
      <c r="G35" s="1"/>
      <c r="H35" s="1"/>
      <c r="I35" s="1"/>
      <c r="J35" s="1"/>
      <c r="K35" s="14"/>
      <c r="L35" s="14"/>
      <c r="M35" s="1"/>
      <c r="N35" s="1"/>
      <c r="O35" s="1"/>
      <c r="P35" s="1"/>
      <c r="Q35" s="1"/>
      <c r="R35" s="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4:110" x14ac:dyDescent="0.2">
      <c r="D36" s="1"/>
      <c r="E36" s="1"/>
      <c r="F36" s="1"/>
      <c r="G36" s="1"/>
      <c r="H36" s="1"/>
      <c r="I36" s="1"/>
      <c r="J36" s="1"/>
      <c r="K36" s="14"/>
      <c r="L36" s="14"/>
      <c r="M36" s="1"/>
      <c r="N36" s="1"/>
      <c r="O36" s="1"/>
      <c r="P36" s="1"/>
      <c r="Q36" s="1"/>
      <c r="R36" s="1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</row>
    <row r="37" spans="4:110" x14ac:dyDescent="0.2">
      <c r="D37" s="1"/>
      <c r="E37" s="1"/>
      <c r="F37" s="1"/>
      <c r="G37" s="1"/>
      <c r="H37" s="1"/>
      <c r="I37" s="1"/>
      <c r="J37" s="1"/>
      <c r="K37" s="14"/>
      <c r="L37" s="14"/>
      <c r="M37" s="1"/>
      <c r="N37" s="1"/>
      <c r="O37" s="1"/>
      <c r="P37" s="1"/>
      <c r="Q37" s="1"/>
      <c r="R37" s="1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</row>
    <row r="38" spans="4:110" x14ac:dyDescent="0.2">
      <c r="D38" s="1"/>
      <c r="E38" s="1"/>
      <c r="F38" s="1"/>
      <c r="G38" s="1"/>
      <c r="H38" s="1"/>
      <c r="I38" s="1"/>
      <c r="J38" s="1"/>
      <c r="K38" s="14"/>
      <c r="L38" s="14"/>
      <c r="M38" s="1"/>
      <c r="N38" s="1"/>
      <c r="O38" s="1"/>
      <c r="P38" s="1"/>
      <c r="Q38" s="1"/>
      <c r="R38" s="1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</row>
    <row r="39" spans="4:110" x14ac:dyDescent="0.2">
      <c r="D39" s="1"/>
      <c r="E39" s="1"/>
      <c r="F39" s="1"/>
      <c r="G39" s="1"/>
      <c r="H39" s="1"/>
      <c r="I39" s="1"/>
      <c r="J39" s="1"/>
      <c r="K39" s="14"/>
      <c r="L39" s="14"/>
      <c r="M39" s="1"/>
      <c r="N39" s="1"/>
      <c r="O39" s="1"/>
      <c r="P39" s="1"/>
      <c r="Q39" s="1"/>
      <c r="R39" s="1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</row>
    <row r="40" spans="4:110" x14ac:dyDescent="0.2">
      <c r="D40" s="1"/>
      <c r="E40" s="1"/>
      <c r="F40" s="1"/>
      <c r="G40" s="1"/>
      <c r="H40" s="1"/>
      <c r="I40" s="1"/>
      <c r="J40" s="1"/>
      <c r="K40" s="14"/>
      <c r="L40" s="14"/>
      <c r="M40" s="1"/>
      <c r="N40" s="1"/>
      <c r="O40" s="1"/>
      <c r="P40" s="1"/>
      <c r="Q40" s="1"/>
      <c r="R40" s="1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</row>
    <row r="41" spans="4:110" x14ac:dyDescent="0.2">
      <c r="D41" s="1"/>
      <c r="E41" s="1"/>
      <c r="F41" s="1"/>
      <c r="G41" s="1"/>
      <c r="H41" s="1"/>
      <c r="I41" s="1"/>
      <c r="J41" s="1"/>
      <c r="K41" s="14"/>
      <c r="L41" s="14"/>
      <c r="M41" s="1"/>
      <c r="N41" s="1"/>
      <c r="O41" s="1"/>
      <c r="P41" s="1"/>
      <c r="Q41" s="1"/>
      <c r="R41" s="1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</row>
    <row r="42" spans="4:110" x14ac:dyDescent="0.2">
      <c r="D42" s="1"/>
      <c r="E42" s="1"/>
      <c r="F42" s="1"/>
      <c r="G42" s="1"/>
      <c r="H42" s="1"/>
      <c r="I42" s="1"/>
      <c r="J42" s="1"/>
      <c r="K42" s="14"/>
      <c r="L42" s="14"/>
      <c r="M42" s="1"/>
      <c r="N42" s="1"/>
      <c r="O42" s="1"/>
      <c r="P42" s="1"/>
      <c r="Q42" s="1"/>
      <c r="R42" s="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</row>
    <row r="43" spans="4:110" x14ac:dyDescent="0.2">
      <c r="H43" s="1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</row>
    <row r="44" spans="4:110" x14ac:dyDescent="0.2"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</row>
    <row r="45" spans="4:110" x14ac:dyDescent="0.2"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</row>
    <row r="46" spans="4:110" x14ac:dyDescent="0.2"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</row>
    <row r="47" spans="4:110" x14ac:dyDescent="0.2"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</row>
    <row r="48" spans="4:110" x14ac:dyDescent="0.2"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</row>
    <row r="49" spans="19:110" x14ac:dyDescent="0.2"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</row>
    <row r="50" spans="19:110" x14ac:dyDescent="0.2"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</row>
    <row r="51" spans="19:110" x14ac:dyDescent="0.2"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</row>
    <row r="52" spans="19:110" x14ac:dyDescent="0.2"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</row>
    <row r="53" spans="19:110" x14ac:dyDescent="0.2"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</row>
    <row r="54" spans="19:110" x14ac:dyDescent="0.2"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</row>
    <row r="55" spans="19:110" x14ac:dyDescent="0.2"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</row>
    <row r="56" spans="19:110" x14ac:dyDescent="0.2"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</row>
    <row r="57" spans="19:110" x14ac:dyDescent="0.2"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</row>
    <row r="58" spans="19:110" x14ac:dyDescent="0.2"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</row>
    <row r="59" spans="19:110" x14ac:dyDescent="0.2"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</row>
    <row r="60" spans="19:110" x14ac:dyDescent="0.2"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</row>
    <row r="61" spans="19:110" x14ac:dyDescent="0.2"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</row>
    <row r="62" spans="19:110" x14ac:dyDescent="0.2"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</row>
    <row r="63" spans="19:110" x14ac:dyDescent="0.2"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</row>
    <row r="64" spans="19:110" x14ac:dyDescent="0.2"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</row>
    <row r="65" spans="21:110" x14ac:dyDescent="0.2"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</row>
    <row r="66" spans="21:110" x14ac:dyDescent="0.2"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</row>
    <row r="67" spans="21:110" x14ac:dyDescent="0.2"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</row>
    <row r="68" spans="21:110" x14ac:dyDescent="0.2"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</row>
    <row r="69" spans="21:110" x14ac:dyDescent="0.2"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</row>
    <row r="70" spans="21:110" x14ac:dyDescent="0.2"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</row>
    <row r="71" spans="21:110" x14ac:dyDescent="0.2"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</row>
    <row r="72" spans="21:110" x14ac:dyDescent="0.2"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</row>
  </sheetData>
  <sheetProtection algorithmName="SHA-512" hashValue="sp65eTBbA/BBARAslmokqzw7TWN1cpGxOCJ3/CPo/nVzZdth/ci5C+3olxS0VG74fD+NDG7dtcCS11GlR2rxgQ==" saltValue="E8SYM6w7I2uZ17Ov7v3C9w==" spinCount="100000" sheet="1" selectLockedCells="1"/>
  <mergeCells count="18">
    <mergeCell ref="D1:T1"/>
    <mergeCell ref="E2:E3"/>
    <mergeCell ref="F2:H2"/>
    <mergeCell ref="F4:H4"/>
    <mergeCell ref="F5:G5"/>
    <mergeCell ref="I5:K5"/>
    <mergeCell ref="F14:G14"/>
    <mergeCell ref="F17:G17"/>
    <mergeCell ref="F6:G6"/>
    <mergeCell ref="I6:L6"/>
    <mergeCell ref="F10:G10"/>
    <mergeCell ref="F16:G16"/>
    <mergeCell ref="I15:M15"/>
    <mergeCell ref="F7:G7"/>
    <mergeCell ref="I7:M7"/>
    <mergeCell ref="F12:H12"/>
    <mergeCell ref="F13:G13"/>
    <mergeCell ref="I16:M16"/>
  </mergeCells>
  <conditionalFormatting sqref="F20:G20">
    <cfRule type="cellIs" dxfId="6" priority="9" operator="equal">
      <formula>FALSE</formula>
    </cfRule>
  </conditionalFormatting>
  <conditionalFormatting sqref="H5">
    <cfRule type="expression" dxfId="5" priority="19">
      <formula>H5&lt;#REF!</formula>
    </cfRule>
  </conditionalFormatting>
  <conditionalFormatting sqref="H7">
    <cfRule type="cellIs" dxfId="4" priority="1" operator="greaterThan">
      <formula>"H6"</formula>
    </cfRule>
  </conditionalFormatting>
  <conditionalFormatting sqref="H18">
    <cfRule type="cellIs" dxfId="3" priority="11" stopIfTrue="1" operator="equal">
      <formula>0</formula>
    </cfRule>
  </conditionalFormatting>
  <conditionalFormatting sqref="H19:H20">
    <cfRule type="cellIs" dxfId="2" priority="13" stopIfTrue="1" operator="lessThan">
      <formula>0</formula>
    </cfRule>
  </conditionalFormatting>
  <conditionalFormatting sqref="I5:K6 I7 I8:K14 I15:I16">
    <cfRule type="cellIs" dxfId="1" priority="5" operator="equal">
      <formula>FALSE</formula>
    </cfRule>
  </conditionalFormatting>
  <conditionalFormatting sqref="L5">
    <cfRule type="cellIs" dxfId="0" priority="8" operator="equal">
      <formula>FALSE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Ativos</vt:lpstr>
      <vt:lpstr>Aposentados</vt:lpstr>
      <vt:lpstr>Funpresp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2003</dc:creator>
  <cp:lastModifiedBy>Eduardo</cp:lastModifiedBy>
  <dcterms:created xsi:type="dcterms:W3CDTF">2020-01-28T22:38:11Z</dcterms:created>
  <dcterms:modified xsi:type="dcterms:W3CDTF">2023-05-05T01:30:13Z</dcterms:modified>
</cp:coreProperties>
</file>