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ifes\Previdencia\Calculadoras 2023\Novas Calculadoras novo SM\Publicas\"/>
    </mc:Choice>
  </mc:AlternateContent>
  <xr:revisionPtr revIDLastSave="0" documentId="13_ncr:1_{4D2FEF75-FD00-49F9-8BF7-BAFF358F99D5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Ativos" sheetId="2" r:id="rId1"/>
    <sheet name="Aposentado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V10" i="1" s="1"/>
  <c r="AT13" i="2"/>
  <c r="AR11" i="2"/>
  <c r="AT11" i="2" s="1"/>
  <c r="AT16" i="2" s="1"/>
  <c r="AW11" i="2"/>
  <c r="AV12" i="2" s="1"/>
  <c r="AT10" i="2"/>
  <c r="AW10" i="2" s="1"/>
  <c r="AE10" i="2"/>
  <c r="AE11" i="2" s="1"/>
  <c r="AD11" i="2" s="1"/>
  <c r="AA10" i="2"/>
  <c r="K16" i="2"/>
  <c r="G19" i="2"/>
  <c r="AU8" i="2"/>
  <c r="AW13" i="2"/>
  <c r="D13" i="1"/>
  <c r="H12" i="1"/>
  <c r="H17" i="1"/>
  <c r="H5" i="1"/>
  <c r="D6" i="1"/>
  <c r="AV14" i="2"/>
  <c r="S13" i="1" l="1"/>
  <c r="AW16" i="2"/>
  <c r="AH10" i="1"/>
  <c r="U11" i="1"/>
  <c r="Y10" i="1"/>
  <c r="Z10" i="1" s="1"/>
  <c r="AB10" i="1" s="1"/>
  <c r="AT15" i="2"/>
  <c r="AT12" i="2"/>
  <c r="AW12" i="2" s="1"/>
  <c r="AV13" i="2" s="1"/>
  <c r="AZ13" i="2" s="1"/>
  <c r="AT14" i="2"/>
  <c r="AD10" i="1"/>
  <c r="AA10" i="1"/>
  <c r="AZ10" i="2"/>
  <c r="BA10" i="2" s="1"/>
  <c r="BB10" i="2" s="1"/>
  <c r="AV11" i="2"/>
  <c r="AZ11" i="2" s="1"/>
  <c r="BE10" i="2"/>
  <c r="S11" i="1" l="1"/>
  <c r="V11" i="1" s="1"/>
  <c r="U12" i="1" s="1"/>
  <c r="AW14" i="2"/>
  <c r="AW15" i="2"/>
  <c r="AV16" i="2" s="1"/>
  <c r="S12" i="1"/>
  <c r="V12" i="1" s="1"/>
  <c r="V13" i="1"/>
  <c r="U14" i="1" s="1"/>
  <c r="AC10" i="1"/>
  <c r="AE10" i="1" s="1"/>
  <c r="AF10" i="1" s="1"/>
  <c r="AZ12" i="2"/>
  <c r="Y11" i="1"/>
  <c r="Z11" i="1" s="1"/>
  <c r="AV17" i="2"/>
  <c r="AZ16" i="2"/>
  <c r="BD10" i="2"/>
  <c r="BF10" i="2" s="1"/>
  <c r="BG10" i="2" s="1"/>
  <c r="BH10" i="2" s="1"/>
  <c r="BI10" i="2" s="1"/>
  <c r="BA11" i="2"/>
  <c r="BA12" i="2" s="1"/>
  <c r="BB11" i="2"/>
  <c r="BC10" i="2"/>
  <c r="AD11" i="1" l="1"/>
  <c r="AA11" i="1"/>
  <c r="AC11" i="1"/>
  <c r="AB11" i="1"/>
  <c r="BD11" i="2"/>
  <c r="BC11" i="2"/>
  <c r="U13" i="1"/>
  <c r="Y13" i="1" s="1"/>
  <c r="Y12" i="1"/>
  <c r="Z12" i="1" s="1"/>
  <c r="AZ14" i="2"/>
  <c r="AV15" i="2"/>
  <c r="AZ15" i="2" s="1"/>
  <c r="BD12" i="2"/>
  <c r="BE12" i="2"/>
  <c r="BE11" i="2"/>
  <c r="AG10" i="1"/>
  <c r="BC12" i="2"/>
  <c r="BA13" i="2"/>
  <c r="BB13" i="2" s="1"/>
  <c r="BB12" i="2"/>
  <c r="BF12" i="2" l="1"/>
  <c r="BF11" i="2"/>
  <c r="BG11" i="2" s="1"/>
  <c r="BH11" i="2" s="1"/>
  <c r="BI11" i="2" s="1"/>
  <c r="AA12" i="1"/>
  <c r="AC12" i="1"/>
  <c r="AB12" i="1"/>
  <c r="AD12" i="1"/>
  <c r="AE12" i="1" s="1"/>
  <c r="Z13" i="1"/>
  <c r="AE11" i="1"/>
  <c r="AF11" i="1" s="1"/>
  <c r="AG11" i="1" s="1"/>
  <c r="AH11" i="1" s="1"/>
  <c r="AF12" i="1"/>
  <c r="BD13" i="2"/>
  <c r="BC13" i="2"/>
  <c r="BA14" i="2"/>
  <c r="BE14" i="2" s="1"/>
  <c r="BE13" i="2"/>
  <c r="BG12" i="2" l="1"/>
  <c r="BH12" i="2" s="1"/>
  <c r="BI12" i="2" s="1"/>
  <c r="BF13" i="2"/>
  <c r="AC13" i="1"/>
  <c r="AA13" i="1"/>
  <c r="AC14" i="1"/>
  <c r="AB13" i="1"/>
  <c r="AD13" i="1"/>
  <c r="AE13" i="1" s="1"/>
  <c r="AF13" i="1" s="1"/>
  <c r="AG13" i="1" s="1"/>
  <c r="AH13" i="1" s="1"/>
  <c r="AG12" i="1"/>
  <c r="AH12" i="1" s="1"/>
  <c r="BB14" i="2"/>
  <c r="BG13" i="2"/>
  <c r="BD14" i="2"/>
  <c r="BF14" i="2" s="1"/>
  <c r="BC14" i="2"/>
  <c r="BA15" i="2"/>
  <c r="BE15" i="2" s="1"/>
  <c r="BH13" i="2"/>
  <c r="BI13" i="2" s="1"/>
  <c r="BD15" i="2"/>
  <c r="AG14" i="1" l="1"/>
  <c r="AH14" i="1" s="1"/>
  <c r="G5" i="1" s="1"/>
  <c r="Y14" i="1"/>
  <c r="BG14" i="2"/>
  <c r="BH14" i="2" s="1"/>
  <c r="BI14" i="2" s="1"/>
  <c r="BB15" i="2"/>
  <c r="BC15" i="2"/>
  <c r="BA16" i="2"/>
  <c r="BB16" i="2" s="1"/>
  <c r="BF15" i="2"/>
  <c r="G17" i="1" l="1"/>
  <c r="K7" i="1"/>
  <c r="BD17" i="2"/>
  <c r="BH17" i="2" s="1"/>
  <c r="BI17" i="2" s="1"/>
  <c r="BG15" i="2"/>
  <c r="BH15" i="2" s="1"/>
  <c r="BI15" i="2" s="1"/>
  <c r="BD16" i="2"/>
  <c r="BC16" i="2"/>
  <c r="BE16" i="2"/>
  <c r="BF16" i="2" s="1"/>
  <c r="AZ17" i="2"/>
  <c r="K11" i="1" l="1"/>
  <c r="K13" i="1"/>
  <c r="BG16" i="2"/>
  <c r="BH16" i="2" s="1"/>
  <c r="BI16" i="2" s="1"/>
  <c r="BI19" i="2" s="1"/>
  <c r="H5" i="2" l="1"/>
  <c r="AA9" i="2" s="1"/>
  <c r="G12" i="1"/>
  <c r="G18" i="1" s="1"/>
  <c r="K16" i="1" s="1"/>
  <c r="AD6" i="2"/>
  <c r="AD7" i="2" l="1"/>
  <c r="AD8" i="2" s="1"/>
  <c r="R19" i="2" s="1"/>
  <c r="R20" i="2" s="1"/>
  <c r="AD14" i="2" s="1"/>
  <c r="AA6" i="2"/>
  <c r="AA8" i="2" s="1"/>
  <c r="AD19" i="2" s="1"/>
  <c r="H17" i="2" s="1"/>
  <c r="F19" i="1"/>
  <c r="G19" i="1"/>
  <c r="H12" i="2" l="1"/>
  <c r="H18" i="2" s="1"/>
  <c r="H19" i="2" s="1"/>
</calcChain>
</file>

<file path=xl/sharedStrings.xml><?xml version="1.0" encoding="utf-8"?>
<sst xmlns="http://schemas.openxmlformats.org/spreadsheetml/2006/main" count="43" uniqueCount="35">
  <si>
    <t>Tempo de Contribuição (anos)=</t>
  </si>
  <si>
    <t>Indique sua Geração:</t>
  </si>
  <si>
    <t>2ª Geração:</t>
  </si>
  <si>
    <t>5ª Geração:</t>
  </si>
  <si>
    <t>4ª Geração:</t>
  </si>
  <si>
    <t>3ª Geração:</t>
  </si>
  <si>
    <t>até 31/12/2003</t>
  </si>
  <si>
    <t>a partir de 12/11/2019</t>
  </si>
  <si>
    <t>ª</t>
  </si>
  <si>
    <t>Ingresso no Serviço Público</t>
  </si>
  <si>
    <t>Geração</t>
  </si>
  <si>
    <t>de 01/01/2004 a 03/02/2013</t>
  </si>
  <si>
    <t>de 04/02/2013 a 11/11/2019</t>
  </si>
  <si>
    <t>EC103/2019</t>
  </si>
  <si>
    <t>acima de R$ 40.747,21</t>
  </si>
  <si>
    <t>Base de Cálculo=</t>
  </si>
  <si>
    <t>Instituidor Aposentado</t>
  </si>
  <si>
    <t>número de dependentes=</t>
  </si>
  <si>
    <t>Valor da Pensão familiar=</t>
  </si>
  <si>
    <t>Após a EC103</t>
  </si>
  <si>
    <t>Valor da Pensão=</t>
  </si>
  <si>
    <t>Se a EC103 não existisse</t>
  </si>
  <si>
    <t>Diferença=</t>
  </si>
  <si>
    <t>Instituidor Ativo</t>
  </si>
  <si>
    <t>Aposentadoria por Incapacidade Permanente</t>
  </si>
  <si>
    <t>* Você trouxe tempo do INSS abaixo do Teto? Coloque um valor menor.</t>
  </si>
  <si>
    <t>Valor da Aposentadoria por incapacidade=</t>
  </si>
  <si>
    <t>Estime o % do último contracheque*:</t>
  </si>
  <si>
    <t>Média das Remunerações=</t>
  </si>
  <si>
    <t>SM=</t>
  </si>
  <si>
    <t>Teto=</t>
  </si>
  <si>
    <t>Multiplicador</t>
  </si>
  <si>
    <t>Ind. Gerador</t>
  </si>
  <si>
    <t>Vaalor da CPSS maio/2023=</t>
  </si>
  <si>
    <t>Valor da CPSS maio/2023=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</si>
</sst>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0.0%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9"/>
      <name val="Arial"/>
    </font>
    <font>
      <sz val="10"/>
      <color indexed="10"/>
      <name val="Arial"/>
    </font>
    <font>
      <b/>
      <sz val="14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rgb="FFF8F8F8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12"/>
      <color rgb="FFFFFFFF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2" borderId="2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/>
    <xf numFmtId="0" fontId="8" fillId="2" borderId="13" xfId="0" applyFont="1" applyFill="1" applyBorder="1" applyProtection="1">
      <protection locked="0"/>
    </xf>
    <xf numFmtId="0" fontId="10" fillId="0" borderId="0" xfId="0" applyFont="1" applyFill="1" applyBorder="1"/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1" fillId="0" borderId="0" xfId="0" applyFont="1" applyProtection="1"/>
    <xf numFmtId="0" fontId="10" fillId="0" borderId="0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164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right"/>
    </xf>
    <xf numFmtId="164" fontId="10" fillId="0" borderId="0" xfId="0" applyNumberFormat="1" applyFont="1" applyFill="1" applyBorder="1" applyProtection="1"/>
    <xf numFmtId="0" fontId="6" fillId="0" borderId="6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right"/>
    </xf>
    <xf numFmtId="0" fontId="8" fillId="0" borderId="11" xfId="0" applyFont="1" applyBorder="1" applyProtection="1"/>
    <xf numFmtId="164" fontId="8" fillId="2" borderId="10" xfId="0" applyNumberFormat="1" applyFont="1" applyFill="1" applyBorder="1" applyProtection="1"/>
    <xf numFmtId="10" fontId="10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0" fontId="0" fillId="0" borderId="3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0" borderId="4" xfId="0" applyNumberFormat="1" applyBorder="1" applyProtection="1"/>
    <xf numFmtId="0" fontId="12" fillId="0" borderId="0" xfId="0" applyFont="1" applyFill="1" applyBorder="1" applyProtection="1"/>
    <xf numFmtId="0" fontId="6" fillId="0" borderId="3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3" fontId="0" fillId="0" borderId="0" xfId="0" applyNumberFormat="1" applyProtection="1"/>
    <xf numFmtId="3" fontId="8" fillId="8" borderId="0" xfId="0" applyNumberFormat="1" applyFont="1" applyFill="1" applyProtection="1"/>
    <xf numFmtId="0" fontId="9" fillId="8" borderId="6" xfId="0" applyFont="1" applyFill="1" applyBorder="1" applyAlignment="1" applyProtection="1">
      <alignment horizontal="center"/>
    </xf>
    <xf numFmtId="164" fontId="9" fillId="8" borderId="2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Protection="1"/>
    <xf numFmtId="0" fontId="6" fillId="0" borderId="7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right"/>
    </xf>
    <xf numFmtId="0" fontId="9" fillId="4" borderId="3" xfId="0" applyFont="1" applyFill="1" applyBorder="1" applyAlignment="1" applyProtection="1">
      <alignment horizontal="right"/>
    </xf>
    <xf numFmtId="164" fontId="9" fillId="4" borderId="4" xfId="0" applyNumberFormat="1" applyFont="1" applyFill="1" applyBorder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164" fontId="14" fillId="0" borderId="0" xfId="0" applyNumberFormat="1" applyFont="1" applyFill="1" applyBorder="1" applyProtection="1"/>
    <xf numFmtId="0" fontId="8" fillId="0" borderId="0" xfId="0" applyFont="1" applyBorder="1" applyProtection="1"/>
    <xf numFmtId="0" fontId="0" fillId="3" borderId="0" xfId="0" applyFill="1" applyProtection="1"/>
    <xf numFmtId="0" fontId="0" fillId="0" borderId="0" xfId="0" applyProtection="1"/>
    <xf numFmtId="0" fontId="9" fillId="4" borderId="7" xfId="0" applyFont="1" applyFill="1" applyBorder="1" applyAlignment="1" applyProtection="1">
      <alignment horizontal="right"/>
    </xf>
    <xf numFmtId="164" fontId="9" fillId="4" borderId="9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Protection="1"/>
    <xf numFmtId="3" fontId="8" fillId="0" borderId="0" xfId="0" applyNumberFormat="1" applyFont="1" applyProtection="1"/>
    <xf numFmtId="164" fontId="8" fillId="0" borderId="0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3" fontId="10" fillId="0" borderId="0" xfId="0" applyNumberFormat="1" applyFont="1" applyFill="1" applyBorder="1" applyProtection="1"/>
    <xf numFmtId="2" fontId="10" fillId="0" borderId="0" xfId="0" applyNumberFormat="1" applyFont="1" applyFill="1" applyBorder="1" applyProtection="1"/>
    <xf numFmtId="0" fontId="6" fillId="0" borderId="12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right"/>
    </xf>
    <xf numFmtId="164" fontId="6" fillId="0" borderId="10" xfId="0" applyNumberFormat="1" applyFont="1" applyBorder="1" applyProtection="1"/>
    <xf numFmtId="164" fontId="8" fillId="5" borderId="0" xfId="0" applyNumberFormat="1" applyFont="1" applyFill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8" fillId="0" borderId="0" xfId="0" applyFont="1" applyProtection="1"/>
    <xf numFmtId="0" fontId="6" fillId="0" borderId="5" xfId="0" applyFont="1" applyBorder="1" applyProtection="1"/>
    <xf numFmtId="0" fontId="0" fillId="6" borderId="0" xfId="0" applyFill="1" applyProtection="1"/>
    <xf numFmtId="0" fontId="8" fillId="0" borderId="0" xfId="0" applyFont="1" applyBorder="1" applyProtection="1"/>
    <xf numFmtId="0" fontId="4" fillId="0" borderId="6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164" fontId="7" fillId="0" borderId="0" xfId="0" applyNumberFormat="1" applyFont="1" applyProtection="1"/>
    <xf numFmtId="0" fontId="4" fillId="0" borderId="3" xfId="0" applyFont="1" applyBorder="1" applyProtection="1"/>
    <xf numFmtId="0" fontId="4" fillId="0" borderId="0" xfId="0" applyFont="1" applyProtection="1"/>
    <xf numFmtId="164" fontId="7" fillId="0" borderId="4" xfId="0" applyNumberFormat="1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10" fontId="7" fillId="0" borderId="9" xfId="0" applyNumberFormat="1" applyFont="1" applyBorder="1" applyProtection="1"/>
    <xf numFmtId="10" fontId="1" fillId="0" borderId="0" xfId="0" applyNumberFormat="1" applyFont="1" applyProtection="1"/>
    <xf numFmtId="10" fontId="6" fillId="0" borderId="6" xfId="0" applyNumberFormat="1" applyFont="1" applyBorder="1" applyAlignment="1" applyProtection="1">
      <alignment horizontal="right"/>
    </xf>
    <xf numFmtId="164" fontId="6" fillId="0" borderId="2" xfId="0" applyNumberFormat="1" applyFont="1" applyBorder="1" applyProtection="1"/>
    <xf numFmtId="10" fontId="8" fillId="0" borderId="0" xfId="0" applyNumberFormat="1" applyFont="1" applyProtection="1"/>
    <xf numFmtId="0" fontId="6" fillId="0" borderId="7" xfId="0" applyFont="1" applyBorder="1" applyAlignment="1" applyProtection="1">
      <alignment horizontal="right"/>
    </xf>
    <xf numFmtId="0" fontId="6" fillId="0" borderId="8" xfId="0" applyFont="1" applyBorder="1" applyProtection="1"/>
    <xf numFmtId="164" fontId="6" fillId="0" borderId="9" xfId="0" applyNumberFormat="1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5" fillId="7" borderId="0" xfId="0" applyFont="1" applyFill="1" applyAlignment="1" applyProtection="1">
      <alignment horizontal="center"/>
    </xf>
    <xf numFmtId="0" fontId="5" fillId="0" borderId="0" xfId="0" applyFont="1" applyProtection="1"/>
    <xf numFmtId="0" fontId="0" fillId="0" borderId="8" xfId="0" applyBorder="1" applyProtection="1"/>
    <xf numFmtId="0" fontId="9" fillId="0" borderId="0" xfId="0" applyFont="1" applyAlignment="1" applyProtection="1">
      <alignment horizontal="right"/>
    </xf>
    <xf numFmtId="164" fontId="9" fillId="0" borderId="0" xfId="0" applyNumberFormat="1" applyFont="1" applyProtection="1"/>
    <xf numFmtId="0" fontId="9" fillId="0" borderId="0" xfId="0" applyFont="1" applyProtection="1"/>
    <xf numFmtId="0" fontId="0" fillId="0" borderId="6" xfId="0" applyBorder="1" applyProtection="1"/>
    <xf numFmtId="0" fontId="0" fillId="0" borderId="3" xfId="0" applyBorder="1" applyProtection="1"/>
    <xf numFmtId="0" fontId="0" fillId="0" borderId="7" xfId="0" applyBorder="1" applyProtection="1"/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3" fontId="9" fillId="0" borderId="0" xfId="0" applyNumberFormat="1" applyFont="1" applyProtection="1"/>
    <xf numFmtId="164" fontId="6" fillId="0" borderId="0" xfId="0" applyNumberFormat="1" applyFont="1" applyProtection="1"/>
    <xf numFmtId="0" fontId="0" fillId="6" borderId="1" xfId="0" applyFill="1" applyBorder="1" applyAlignment="1" applyProtection="1">
      <alignment horizontal="center"/>
    </xf>
    <xf numFmtId="0" fontId="0" fillId="0" borderId="1" xfId="0" applyBorder="1" applyProtection="1"/>
    <xf numFmtId="10" fontId="9" fillId="0" borderId="0" xfId="0" applyNumberFormat="1" applyFont="1" applyProtection="1"/>
    <xf numFmtId="0" fontId="4" fillId="0" borderId="1" xfId="0" applyFont="1" applyBorder="1" applyAlignment="1" applyProtection="1">
      <alignment horizontal="right"/>
    </xf>
    <xf numFmtId="164" fontId="4" fillId="0" borderId="1" xfId="0" applyNumberFormat="1" applyFont="1" applyBorder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10" fontId="4" fillId="0" borderId="1" xfId="0" applyNumberFormat="1" applyFont="1" applyBorder="1" applyProtection="1"/>
  </cellXfs>
  <cellStyles count="1">
    <cellStyle name="Normal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</dxfs>
  <tableStyles count="0" defaultTableStyle="TableStyleMedium2" defaultPivotStyle="PivotStyleLight16"/>
  <colors>
    <mruColors>
      <color rgb="FFFF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256442</xdr:colOff>
      <xdr:row>3</xdr:row>
      <xdr:rowOff>0</xdr:rowOff>
    </xdr:from>
    <xdr:to>
      <xdr:col>17</xdr:col>
      <xdr:colOff>402265</xdr:colOff>
      <xdr:row>5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253D3BD-1AEF-47F3-AFE2-2F922F91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1288" y="483577"/>
          <a:ext cx="789110" cy="465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533400</xdr:colOff>
      <xdr:row>2</xdr:row>
      <xdr:rowOff>85725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4196055D-6F6D-42D4-BC29-3B4E802D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5334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C156"/>
  <sheetViews>
    <sheetView tabSelected="1" zoomScale="120" zoomScaleNormal="120" workbookViewId="0">
      <selection activeCell="H6" sqref="H6"/>
    </sheetView>
  </sheetViews>
  <sheetFormatPr defaultRowHeight="12.75" x14ac:dyDescent="0.2"/>
  <cols>
    <col min="1" max="1" width="2" customWidth="1"/>
    <col min="2" max="2" width="9.140625" hidden="1" customWidth="1"/>
    <col min="3" max="3" width="0.85546875" customWidth="1"/>
    <col min="8" max="8" width="12.85546875" bestFit="1" customWidth="1"/>
    <col min="9" max="10" width="2.5703125" customWidth="1"/>
    <col min="11" max="11" width="10.5703125" customWidth="1"/>
    <col min="12" max="12" width="26.140625" customWidth="1"/>
    <col min="13" max="13" width="3.42578125" bestFit="1" customWidth="1"/>
    <col min="14" max="14" width="1.5703125" bestFit="1" customWidth="1"/>
    <col min="15" max="15" width="4.42578125" bestFit="1" customWidth="1"/>
    <col min="16" max="16" width="3.85546875" bestFit="1" customWidth="1"/>
    <col min="17" max="17" width="1.42578125" bestFit="1" customWidth="1"/>
    <col min="18" max="18" width="12.7109375" bestFit="1" customWidth="1"/>
    <col min="20" max="20" width="2.42578125" customWidth="1"/>
    <col min="21" max="21" width="2" customWidth="1"/>
    <col min="22" max="22" width="23.85546875" bestFit="1" customWidth="1"/>
    <col min="23" max="23" width="2.140625" style="2" bestFit="1" customWidth="1"/>
    <col min="24" max="24" width="1.42578125" style="2" bestFit="1" customWidth="1"/>
    <col min="25" max="25" width="3.28515625" customWidth="1"/>
    <col min="26" max="26" width="14" bestFit="1" customWidth="1"/>
    <col min="27" max="27" width="12.42578125" bestFit="1" customWidth="1"/>
    <col min="28" max="28" width="3.42578125" customWidth="1"/>
    <col min="29" max="29" width="29.85546875" style="2" bestFit="1" customWidth="1"/>
    <col min="30" max="30" width="12.42578125" bestFit="1" customWidth="1"/>
    <col min="31" max="31" width="3.28515625" bestFit="1" customWidth="1"/>
    <col min="32" max="32" width="4.28515625" bestFit="1" customWidth="1"/>
    <col min="33" max="44" width="8.7109375" style="2" customWidth="1"/>
    <col min="45" max="45" width="12.42578125" style="2" bestFit="1" customWidth="1"/>
    <col min="46" max="46" width="14.42578125" style="2" bestFit="1" customWidth="1"/>
    <col min="47" max="47" width="8.7109375" style="2" customWidth="1"/>
    <col min="48" max="48" width="12.42578125" style="2" bestFit="1" customWidth="1"/>
    <col min="49" max="49" width="19.7109375" style="2" bestFit="1" customWidth="1"/>
    <col min="50" max="50" width="6.42578125" style="2" bestFit="1" customWidth="1"/>
    <col min="51" max="51" width="8.7109375" style="2" customWidth="1"/>
    <col min="52" max="52" width="11.28515625" style="2" bestFit="1" customWidth="1"/>
    <col min="53" max="55" width="11.85546875" style="2" bestFit="1" customWidth="1"/>
    <col min="56" max="57" width="12" style="2" bestFit="1" customWidth="1"/>
    <col min="58" max="58" width="10.85546875" style="2" bestFit="1" customWidth="1"/>
    <col min="59" max="59" width="11.28515625" style="2" bestFit="1" customWidth="1"/>
    <col min="60" max="60" width="10.85546875" style="2" bestFit="1" customWidth="1"/>
    <col min="61" max="61" width="12.42578125" style="2" bestFit="1" customWidth="1"/>
    <col min="62" max="96" width="8.7109375" style="2" customWidth="1"/>
  </cols>
  <sheetData>
    <row r="1" spans="2:211" x14ac:dyDescent="0.2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  <c r="W1" s="14"/>
      <c r="X1" s="14"/>
      <c r="Y1" s="15"/>
      <c r="Z1" s="15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</row>
    <row r="2" spans="2:211" x14ac:dyDescent="0.2">
      <c r="B2" s="9"/>
      <c r="C2" s="9"/>
      <c r="D2" s="17" t="s">
        <v>23</v>
      </c>
      <c r="E2" s="17"/>
      <c r="F2" s="17"/>
      <c r="G2" s="17"/>
      <c r="H2" s="17"/>
      <c r="I2" s="18"/>
      <c r="J2" s="18"/>
      <c r="K2" s="18"/>
      <c r="L2" s="18"/>
      <c r="M2" s="19"/>
      <c r="N2" s="19"/>
      <c r="O2" s="19"/>
      <c r="P2" s="19"/>
      <c r="Q2" s="19"/>
      <c r="R2" s="19"/>
      <c r="S2" s="19"/>
      <c r="T2" s="19"/>
      <c r="U2" s="20"/>
      <c r="V2" s="19"/>
      <c r="W2" s="21"/>
      <c r="X2" s="21"/>
      <c r="Y2" s="19"/>
      <c r="Z2" s="20"/>
      <c r="AA2" s="16"/>
      <c r="AB2" s="16"/>
      <c r="AC2" s="22" t="s">
        <v>29</v>
      </c>
      <c r="AD2" s="23">
        <v>1320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</row>
    <row r="3" spans="2:211" x14ac:dyDescent="0.2">
      <c r="B3" s="9"/>
      <c r="C3" s="9"/>
      <c r="D3" s="12"/>
      <c r="E3" s="12"/>
      <c r="F3" s="12"/>
      <c r="G3" s="12"/>
      <c r="H3" s="12"/>
      <c r="I3" s="12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19"/>
      <c r="W3" s="19">
        <v>1</v>
      </c>
      <c r="X3" s="21"/>
      <c r="Y3" s="19"/>
      <c r="Z3" s="20"/>
      <c r="AA3" s="16"/>
      <c r="AB3" s="23"/>
      <c r="AC3" s="22" t="s">
        <v>30</v>
      </c>
      <c r="AD3" s="23">
        <v>7507.49</v>
      </c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</row>
    <row r="4" spans="2:211" x14ac:dyDescent="0.2">
      <c r="D4" s="24" t="s">
        <v>33</v>
      </c>
      <c r="E4" s="25"/>
      <c r="F4" s="25"/>
      <c r="G4" s="25"/>
      <c r="H4" s="3">
        <v>2905</v>
      </c>
      <c r="I4" s="14"/>
      <c r="J4" s="21"/>
      <c r="K4" s="26" t="s">
        <v>1</v>
      </c>
      <c r="L4" s="27"/>
      <c r="M4" s="6">
        <v>2</v>
      </c>
      <c r="N4" s="28" t="s">
        <v>8</v>
      </c>
      <c r="O4" s="19"/>
      <c r="P4" s="19"/>
      <c r="Q4" s="19"/>
      <c r="R4" s="19"/>
      <c r="S4" s="19"/>
      <c r="T4" s="19"/>
      <c r="U4" s="20"/>
      <c r="V4" s="21"/>
      <c r="W4" s="21"/>
      <c r="X4" s="21"/>
      <c r="Y4" s="19"/>
      <c r="Z4" s="20"/>
      <c r="AA4" s="23"/>
      <c r="AB4" s="23"/>
      <c r="AC4" s="22">
        <v>2023</v>
      </c>
      <c r="AD4" s="29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23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23"/>
      <c r="BB4" s="16"/>
      <c r="BC4" s="16"/>
      <c r="BD4" s="16"/>
      <c r="BE4" s="16"/>
      <c r="BF4" s="16"/>
      <c r="BG4" s="16"/>
      <c r="BH4" s="16"/>
      <c r="BI4" s="30"/>
      <c r="BJ4" s="30"/>
      <c r="BK4" s="16"/>
      <c r="BL4" s="16"/>
      <c r="BM4" s="30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</row>
    <row r="5" spans="2:211" x14ac:dyDescent="0.2">
      <c r="D5" s="31" t="s">
        <v>15</v>
      </c>
      <c r="E5" s="32"/>
      <c r="F5" s="32"/>
      <c r="G5" s="32"/>
      <c r="H5" s="33">
        <f>IF(M4&gt;3,MIN(BI19,AD3),BI19)</f>
        <v>20446.932489034225</v>
      </c>
      <c r="I5" s="13"/>
      <c r="J5" s="21"/>
      <c r="K5" s="19"/>
      <c r="L5" s="19"/>
      <c r="M5" s="21"/>
      <c r="N5" s="21"/>
      <c r="O5" s="19"/>
      <c r="P5" s="19"/>
      <c r="Q5" s="19"/>
      <c r="R5" s="19"/>
      <c r="S5" s="19"/>
      <c r="T5" s="19"/>
      <c r="U5" s="19"/>
      <c r="V5" s="21"/>
      <c r="W5" s="21"/>
      <c r="X5" s="21"/>
      <c r="Y5" s="19"/>
      <c r="Z5" s="19"/>
      <c r="AA5" s="23"/>
      <c r="AB5" s="23"/>
      <c r="AC5" s="22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4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34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</row>
    <row r="6" spans="2:211" ht="15" x14ac:dyDescent="0.2">
      <c r="D6" s="35" t="s">
        <v>17</v>
      </c>
      <c r="E6" s="36"/>
      <c r="F6" s="36"/>
      <c r="G6" s="36"/>
      <c r="H6" s="4">
        <v>2</v>
      </c>
      <c r="I6" s="37"/>
      <c r="J6" s="38"/>
      <c r="K6" s="39" t="s">
        <v>10</v>
      </c>
      <c r="L6" s="40" t="s">
        <v>9</v>
      </c>
      <c r="M6" s="21"/>
      <c r="N6" s="21"/>
      <c r="O6" s="19"/>
      <c r="P6" s="19"/>
      <c r="Q6" s="19"/>
      <c r="R6" s="19"/>
      <c r="S6" s="19"/>
      <c r="T6" s="19"/>
      <c r="U6" s="19"/>
      <c r="V6" s="21"/>
      <c r="W6" s="21"/>
      <c r="X6" s="21"/>
      <c r="Y6" s="19"/>
      <c r="Z6" s="19"/>
      <c r="AA6" s="23">
        <f>AD3+(0.7*(H5-AD3))</f>
        <v>16565.099742323957</v>
      </c>
      <c r="AB6" s="23"/>
      <c r="AC6" s="16"/>
      <c r="AD6" s="23">
        <f>MIN((H5*O14/100),H5)</f>
        <v>16357.54599122738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41"/>
      <c r="BJ6" s="41"/>
      <c r="BK6" s="16"/>
      <c r="BL6" s="16"/>
      <c r="BM6" s="41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</row>
    <row r="7" spans="2:211" x14ac:dyDescent="0.2">
      <c r="D7" s="42" t="s">
        <v>0</v>
      </c>
      <c r="E7" s="43"/>
      <c r="F7" s="43"/>
      <c r="G7" s="43"/>
      <c r="H7" s="5">
        <v>26</v>
      </c>
      <c r="I7" s="12"/>
      <c r="J7" s="19"/>
      <c r="K7" s="44" t="s">
        <v>2</v>
      </c>
      <c r="L7" s="45" t="s">
        <v>6</v>
      </c>
      <c r="M7" s="46"/>
      <c r="N7" s="21"/>
      <c r="O7" s="19"/>
      <c r="P7" s="19"/>
      <c r="Q7" s="19"/>
      <c r="R7" s="19"/>
      <c r="S7" s="19"/>
      <c r="T7" s="19"/>
      <c r="U7" s="19"/>
      <c r="V7" s="21"/>
      <c r="W7" s="21"/>
      <c r="X7" s="21"/>
      <c r="Y7" s="19"/>
      <c r="Z7" s="20"/>
      <c r="AA7" s="16"/>
      <c r="AB7" s="23"/>
      <c r="AC7" s="16"/>
      <c r="AD7" s="23">
        <f>MIN(AD3,H5)</f>
        <v>7507.49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</row>
    <row r="8" spans="2:211" ht="14.25" x14ac:dyDescent="0.2">
      <c r="D8" s="12"/>
      <c r="E8" s="12"/>
      <c r="F8" s="12"/>
      <c r="G8" s="12"/>
      <c r="H8" s="12"/>
      <c r="I8" s="12"/>
      <c r="J8" s="19"/>
      <c r="K8" s="44" t="s">
        <v>5</v>
      </c>
      <c r="L8" s="45" t="s">
        <v>11</v>
      </c>
      <c r="M8" s="46"/>
      <c r="N8" s="21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3">
        <f>IF(H5&gt;AD3,AA6,H5)</f>
        <v>16565.099742323957</v>
      </c>
      <c r="AB8" s="16"/>
      <c r="AC8" s="16"/>
      <c r="AD8" s="23">
        <f>AD7*O14/100</f>
        <v>6005.9919999999993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 t="e">
        <f>AT7/AT6</f>
        <v>#DIV/0!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47"/>
      <c r="BH8" s="16"/>
      <c r="BI8" s="16"/>
      <c r="BJ8" s="16"/>
      <c r="BK8" s="47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</row>
    <row r="9" spans="2:211" ht="14.25" x14ac:dyDescent="0.2">
      <c r="D9" s="12"/>
      <c r="E9" s="12"/>
      <c r="F9" s="12"/>
      <c r="G9" s="12"/>
      <c r="H9" s="12"/>
      <c r="I9" s="12"/>
      <c r="J9" s="19"/>
      <c r="K9" s="44" t="s">
        <v>4</v>
      </c>
      <c r="L9" s="45" t="s">
        <v>12</v>
      </c>
      <c r="M9" s="46"/>
      <c r="N9" s="21"/>
      <c r="O9" s="19"/>
      <c r="P9" s="19"/>
      <c r="Q9" s="48"/>
      <c r="R9" s="48"/>
      <c r="S9" s="48"/>
      <c r="T9" s="48"/>
      <c r="U9" s="48"/>
      <c r="V9" s="48"/>
      <c r="W9" s="48"/>
      <c r="X9" s="48"/>
      <c r="Y9" s="48"/>
      <c r="Z9" s="48"/>
      <c r="AA9" s="23">
        <f>MIN(AD3,H5)</f>
        <v>7507.49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 t="s">
        <v>31</v>
      </c>
      <c r="AS9" s="16" t="s">
        <v>32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47"/>
      <c r="BH9" s="16"/>
      <c r="BI9" s="16"/>
      <c r="BJ9" s="16"/>
      <c r="BK9" s="47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</row>
    <row r="10" spans="2:211" x14ac:dyDescent="0.2">
      <c r="D10" s="12"/>
      <c r="E10" s="49" t="s">
        <v>19</v>
      </c>
      <c r="F10" s="49"/>
      <c r="G10" s="50"/>
      <c r="H10" s="12"/>
      <c r="I10" s="12"/>
      <c r="J10" s="19"/>
      <c r="K10" s="51" t="s">
        <v>3</v>
      </c>
      <c r="L10" s="52" t="s">
        <v>7</v>
      </c>
      <c r="M10" s="46"/>
      <c r="N10" s="21"/>
      <c r="O10" s="19"/>
      <c r="P10" s="19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16">
        <f>MIN((50+(H6*10)),100)</f>
        <v>70</v>
      </c>
      <c r="AB10" s="16"/>
      <c r="AC10" s="22"/>
      <c r="AD10" s="16"/>
      <c r="AE10" s="16">
        <f>60+((2*(H7-20)))</f>
        <v>72</v>
      </c>
      <c r="AF10" s="16">
        <v>100</v>
      </c>
      <c r="AG10" s="16"/>
      <c r="AH10" s="53"/>
      <c r="AI10" s="23"/>
      <c r="AJ10" s="16"/>
      <c r="AK10" s="23"/>
      <c r="AL10" s="23"/>
      <c r="AM10" s="54"/>
      <c r="AN10" s="16"/>
      <c r="AO10" s="23"/>
      <c r="AP10" s="23"/>
      <c r="AQ10" s="23"/>
      <c r="AR10" s="23"/>
      <c r="AS10" s="53"/>
      <c r="AT10" s="23">
        <f>AD2</f>
        <v>1320</v>
      </c>
      <c r="AU10" s="16"/>
      <c r="AV10" s="23">
        <v>0</v>
      </c>
      <c r="AW10" s="23">
        <f t="shared" ref="AW10:AW16" si="0">AT10</f>
        <v>1320</v>
      </c>
      <c r="AX10" s="54">
        <v>7.4999999999999997E-2</v>
      </c>
      <c r="AY10" s="16"/>
      <c r="AZ10" s="23">
        <f t="shared" ref="AZ10:AZ15" si="1">(AW10-AV10)*AX10</f>
        <v>99</v>
      </c>
      <c r="BA10" s="23">
        <f>AZ10</f>
        <v>99</v>
      </c>
      <c r="BB10" s="23">
        <f t="shared" ref="BB10:BB16" si="2">MIN($H$4,BA10)</f>
        <v>99</v>
      </c>
      <c r="BC10" s="23">
        <f t="shared" ref="BC10:BC16" si="3">MAX($H$4,BA10)</f>
        <v>2905</v>
      </c>
      <c r="BD10" s="23">
        <f t="shared" ref="BD10:BD16" si="4">IF(BA10&gt;$H$4,0,AZ10)</f>
        <v>99</v>
      </c>
      <c r="BE10" s="23">
        <f t="shared" ref="BE10:BE16" si="5">IF(BA10&gt;$H$4, $H$4-BA9,0)</f>
        <v>0</v>
      </c>
      <c r="BF10" s="23">
        <f>IF(BE10&lt;0,0,BD10+BE10)</f>
        <v>99</v>
      </c>
      <c r="BG10" s="23">
        <f>BF10</f>
        <v>99</v>
      </c>
      <c r="BH10" s="23">
        <f t="shared" ref="BH10:BH16" si="6">IF(BG10&gt;$H$4,0,BF10)</f>
        <v>99</v>
      </c>
      <c r="BI10" s="23">
        <f t="shared" ref="BI10:BI17" si="7">BH10/AX10</f>
        <v>1320</v>
      </c>
      <c r="BJ10" s="23"/>
      <c r="BK10" s="23"/>
      <c r="BL10" s="23"/>
      <c r="BM10" s="23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</row>
    <row r="11" spans="2:211" x14ac:dyDescent="0.2">
      <c r="D11" s="12"/>
      <c r="E11" s="12"/>
      <c r="F11" s="12"/>
      <c r="G11" s="12"/>
      <c r="H11" s="12"/>
      <c r="I11" s="12"/>
      <c r="J11" s="19"/>
      <c r="K11" s="19"/>
      <c r="L11" s="19"/>
      <c r="M11" s="19"/>
      <c r="N11" s="20"/>
      <c r="O11" s="55"/>
      <c r="P11" s="21"/>
      <c r="Q11" s="56"/>
      <c r="R11" s="48"/>
      <c r="S11" s="48"/>
      <c r="T11" s="48"/>
      <c r="U11" s="48"/>
      <c r="V11" s="48"/>
      <c r="W11" s="48"/>
      <c r="X11" s="48"/>
      <c r="Y11" s="48"/>
      <c r="Z11" s="57"/>
      <c r="AA11" s="16"/>
      <c r="AB11" s="58"/>
      <c r="AC11" s="22"/>
      <c r="AD11" s="16">
        <f>MIN(AF10,AE11)</f>
        <v>72</v>
      </c>
      <c r="AE11" s="16">
        <f>IF(H7&gt;20,AE10,60)</f>
        <v>72</v>
      </c>
      <c r="AF11" s="16"/>
      <c r="AG11" s="16"/>
      <c r="AH11" s="53"/>
      <c r="AI11" s="23"/>
      <c r="AJ11" s="16"/>
      <c r="AK11" s="23"/>
      <c r="AL11" s="23"/>
      <c r="AM11" s="54"/>
      <c r="AN11" s="16"/>
      <c r="AO11" s="23"/>
      <c r="AP11" s="23"/>
      <c r="AQ11" s="23"/>
      <c r="AR11" s="59">
        <f>AD3/5839.45</f>
        <v>1.2856501896582726</v>
      </c>
      <c r="AS11" s="53">
        <v>2000</v>
      </c>
      <c r="AT11" s="23">
        <f>AR11*AS11</f>
        <v>2571.3003793165453</v>
      </c>
      <c r="AU11" s="16" t="s">
        <v>32</v>
      </c>
      <c r="AV11" s="23">
        <f>AW10+0.01</f>
        <v>1320.01</v>
      </c>
      <c r="AW11" s="23">
        <f t="shared" si="0"/>
        <v>2571.3003793165453</v>
      </c>
      <c r="AX11" s="54">
        <v>0.09</v>
      </c>
      <c r="AY11" s="16"/>
      <c r="AZ11" s="23">
        <f t="shared" si="1"/>
        <v>112.61613413848907</v>
      </c>
      <c r="BA11" s="23">
        <f t="shared" ref="BA11:BA16" si="8">AZ11+BA10</f>
        <v>211.61613413848909</v>
      </c>
      <c r="BB11" s="23">
        <f t="shared" si="2"/>
        <v>211.61613413848909</v>
      </c>
      <c r="BC11" s="23">
        <f t="shared" si="3"/>
        <v>2905</v>
      </c>
      <c r="BD11" s="23">
        <f t="shared" si="4"/>
        <v>112.61613413848907</v>
      </c>
      <c r="BE11" s="23">
        <f t="shared" si="5"/>
        <v>0</v>
      </c>
      <c r="BF11" s="23">
        <f t="shared" ref="BF11:BF16" si="9">IF(BE11&lt;0,0,BD11+BE11)</f>
        <v>112.61613413848907</v>
      </c>
      <c r="BG11" s="23">
        <f t="shared" ref="BG11:BG16" si="10">BG10+BF11</f>
        <v>211.61613413848909</v>
      </c>
      <c r="BH11" s="23">
        <f t="shared" si="6"/>
        <v>112.61613413848907</v>
      </c>
      <c r="BI11" s="23">
        <f t="shared" si="7"/>
        <v>1251.2903793165453</v>
      </c>
      <c r="BJ11" s="23"/>
      <c r="BK11" s="23"/>
      <c r="BL11" s="23"/>
      <c r="BM11" s="23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</row>
    <row r="12" spans="2:211" x14ac:dyDescent="0.2">
      <c r="D12" s="12"/>
      <c r="E12" s="60" t="s">
        <v>18</v>
      </c>
      <c r="F12" s="61"/>
      <c r="G12" s="61"/>
      <c r="H12" s="62">
        <f>IF(H4=0,0,MAX(AD2,AD14))</f>
        <v>8244.2031795785988</v>
      </c>
      <c r="I12" s="14"/>
      <c r="J12" s="21"/>
      <c r="K12" s="63" t="s">
        <v>24</v>
      </c>
      <c r="L12" s="64"/>
      <c r="M12" s="64"/>
      <c r="N12" s="65"/>
      <c r="O12" s="65"/>
      <c r="P12" s="65"/>
      <c r="Q12" s="48"/>
      <c r="R12" s="48"/>
      <c r="S12" s="48"/>
      <c r="T12" s="48"/>
      <c r="U12" s="48"/>
      <c r="V12" s="48"/>
      <c r="W12" s="48"/>
      <c r="X12" s="48"/>
      <c r="Y12" s="48"/>
      <c r="Z12" s="57"/>
      <c r="AA12" s="16"/>
      <c r="AB12" s="23"/>
      <c r="AC12" s="22"/>
      <c r="AD12" s="16"/>
      <c r="AE12" s="16"/>
      <c r="AF12" s="16"/>
      <c r="AG12" s="16"/>
      <c r="AH12" s="53"/>
      <c r="AI12" s="23"/>
      <c r="AJ12" s="16"/>
      <c r="AK12" s="23"/>
      <c r="AL12" s="23"/>
      <c r="AM12" s="54"/>
      <c r="AN12" s="16"/>
      <c r="AO12" s="23"/>
      <c r="AP12" s="23"/>
      <c r="AQ12" s="23"/>
      <c r="AR12" s="23"/>
      <c r="AS12" s="53"/>
      <c r="AT12" s="23">
        <f>1.5*AT11</f>
        <v>3856.950568974818</v>
      </c>
      <c r="AU12" s="16"/>
      <c r="AV12" s="23">
        <f t="shared" ref="AV12:AV17" si="11">AW11+0.01</f>
        <v>2571.3103793165455</v>
      </c>
      <c r="AW12" s="23">
        <f t="shared" si="0"/>
        <v>3856.950568974818</v>
      </c>
      <c r="AX12" s="54">
        <v>0.12</v>
      </c>
      <c r="AY12" s="16"/>
      <c r="AZ12" s="23">
        <f t="shared" si="1"/>
        <v>154.27682275899269</v>
      </c>
      <c r="BA12" s="23">
        <f t="shared" si="8"/>
        <v>365.89295689748178</v>
      </c>
      <c r="BB12" s="23">
        <f t="shared" si="2"/>
        <v>365.89295689748178</v>
      </c>
      <c r="BC12" s="23">
        <f t="shared" si="3"/>
        <v>2905</v>
      </c>
      <c r="BD12" s="23">
        <f t="shared" si="4"/>
        <v>154.27682275899269</v>
      </c>
      <c r="BE12" s="23">
        <f t="shared" si="5"/>
        <v>0</v>
      </c>
      <c r="BF12" s="23">
        <f t="shared" si="9"/>
        <v>154.27682275899269</v>
      </c>
      <c r="BG12" s="23">
        <f t="shared" si="10"/>
        <v>365.89295689748178</v>
      </c>
      <c r="BH12" s="23">
        <f t="shared" si="6"/>
        <v>154.27682275899269</v>
      </c>
      <c r="BI12" s="23">
        <f t="shared" si="7"/>
        <v>1285.6401896582724</v>
      </c>
      <c r="BJ12" s="23"/>
      <c r="BK12" s="23"/>
      <c r="BL12" s="23"/>
      <c r="BM12" s="23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</row>
    <row r="13" spans="2:211" ht="13.5" thickBot="1" x14ac:dyDescent="0.25">
      <c r="D13" s="12"/>
      <c r="E13" s="12"/>
      <c r="F13" s="12"/>
      <c r="G13" s="12"/>
      <c r="H13" s="12"/>
      <c r="I13" s="12"/>
      <c r="J13" s="19"/>
      <c r="K13" s="19"/>
      <c r="L13" s="19"/>
      <c r="M13" s="19"/>
      <c r="N13" s="19"/>
      <c r="O13" s="19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16"/>
      <c r="AB13" s="16"/>
      <c r="AC13" s="16"/>
      <c r="AD13" s="16"/>
      <c r="AE13" s="16"/>
      <c r="AF13" s="16"/>
      <c r="AG13" s="16"/>
      <c r="AH13" s="53"/>
      <c r="AI13" s="23"/>
      <c r="AJ13" s="16"/>
      <c r="AK13" s="23"/>
      <c r="AL13" s="23"/>
      <c r="AM13" s="54"/>
      <c r="AN13" s="16"/>
      <c r="AO13" s="23"/>
      <c r="AP13" s="23"/>
      <c r="AQ13" s="23"/>
      <c r="AR13" s="23"/>
      <c r="AS13" s="53"/>
      <c r="AT13" s="23">
        <f>AD3</f>
        <v>7507.49</v>
      </c>
      <c r="AU13" s="16"/>
      <c r="AV13" s="23">
        <f t="shared" si="11"/>
        <v>3856.9605689748182</v>
      </c>
      <c r="AW13" s="23">
        <f t="shared" si="0"/>
        <v>7507.49</v>
      </c>
      <c r="AX13" s="54">
        <v>0.14000000000000001</v>
      </c>
      <c r="AY13" s="16"/>
      <c r="AZ13" s="23">
        <f t="shared" si="1"/>
        <v>511.07412034352546</v>
      </c>
      <c r="BA13" s="23">
        <f t="shared" si="8"/>
        <v>876.96707724100725</v>
      </c>
      <c r="BB13" s="23">
        <f t="shared" si="2"/>
        <v>876.96707724100725</v>
      </c>
      <c r="BC13" s="23">
        <f t="shared" si="3"/>
        <v>2905</v>
      </c>
      <c r="BD13" s="23">
        <f t="shared" si="4"/>
        <v>511.07412034352546</v>
      </c>
      <c r="BE13" s="23">
        <f t="shared" si="5"/>
        <v>0</v>
      </c>
      <c r="BF13" s="23">
        <f t="shared" si="9"/>
        <v>511.07412034352546</v>
      </c>
      <c r="BG13" s="23">
        <f t="shared" si="10"/>
        <v>876.96707724100725</v>
      </c>
      <c r="BH13" s="23">
        <f t="shared" si="6"/>
        <v>511.07412034352546</v>
      </c>
      <c r="BI13" s="23">
        <f t="shared" si="7"/>
        <v>3650.5294310251816</v>
      </c>
      <c r="BJ13" s="23"/>
      <c r="BK13" s="23"/>
      <c r="BL13" s="23"/>
      <c r="BM13" s="23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</row>
    <row r="14" spans="2:211" x14ac:dyDescent="0.2">
      <c r="D14" s="12"/>
      <c r="E14" s="12"/>
      <c r="F14" s="12"/>
      <c r="G14" s="12"/>
      <c r="H14" s="12"/>
      <c r="I14" s="12"/>
      <c r="J14" s="19"/>
      <c r="K14" s="24" t="s">
        <v>27</v>
      </c>
      <c r="L14" s="25"/>
      <c r="M14" s="66"/>
      <c r="N14" s="66"/>
      <c r="O14" s="10">
        <v>80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57"/>
      <c r="AA14" s="16"/>
      <c r="AB14" s="23"/>
      <c r="AC14" s="16"/>
      <c r="AD14" s="23">
        <f>R20*AA10/100</f>
        <v>8244.2031795785988</v>
      </c>
      <c r="AE14" s="16"/>
      <c r="AF14" s="16"/>
      <c r="AG14" s="16"/>
      <c r="AH14" s="53"/>
      <c r="AI14" s="23"/>
      <c r="AJ14" s="16"/>
      <c r="AK14" s="23"/>
      <c r="AL14" s="23"/>
      <c r="AM14" s="54"/>
      <c r="AN14" s="16"/>
      <c r="AO14" s="23"/>
      <c r="AP14" s="23"/>
      <c r="AQ14" s="23"/>
      <c r="AR14" s="23"/>
      <c r="AS14" s="53"/>
      <c r="AT14" s="23">
        <f>5*AT11</f>
        <v>12856.501896582726</v>
      </c>
      <c r="AU14" s="16"/>
      <c r="AV14" s="23">
        <f t="shared" si="11"/>
        <v>7507.5</v>
      </c>
      <c r="AW14" s="23">
        <f t="shared" si="0"/>
        <v>12856.501896582726</v>
      </c>
      <c r="AX14" s="54">
        <v>0.14499999999999999</v>
      </c>
      <c r="AY14" s="16"/>
      <c r="AZ14" s="23">
        <f t="shared" si="1"/>
        <v>775.60527500449518</v>
      </c>
      <c r="BA14" s="23">
        <f t="shared" si="8"/>
        <v>1652.5723522455023</v>
      </c>
      <c r="BB14" s="23">
        <f t="shared" si="2"/>
        <v>1652.5723522455023</v>
      </c>
      <c r="BC14" s="23">
        <f t="shared" si="3"/>
        <v>2905</v>
      </c>
      <c r="BD14" s="23">
        <f t="shared" si="4"/>
        <v>775.60527500449518</v>
      </c>
      <c r="BE14" s="23">
        <f t="shared" si="5"/>
        <v>0</v>
      </c>
      <c r="BF14" s="23">
        <f t="shared" si="9"/>
        <v>775.60527500449518</v>
      </c>
      <c r="BG14" s="23">
        <f t="shared" si="10"/>
        <v>1652.5723522455023</v>
      </c>
      <c r="BH14" s="23">
        <f t="shared" si="6"/>
        <v>775.60527500449518</v>
      </c>
      <c r="BI14" s="23">
        <f t="shared" si="7"/>
        <v>5349.0018965827257</v>
      </c>
      <c r="BJ14" s="23"/>
      <c r="BK14" s="23"/>
      <c r="BL14" s="23"/>
      <c r="BM14" s="23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</row>
    <row r="15" spans="2:211" x14ac:dyDescent="0.2">
      <c r="D15" s="12"/>
      <c r="E15" s="67" t="s">
        <v>21</v>
      </c>
      <c r="F15" s="67"/>
      <c r="G15" s="67"/>
      <c r="H15" s="12"/>
      <c r="I15" s="12"/>
      <c r="J15" s="19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19"/>
      <c r="W15" s="19"/>
      <c r="X15" s="19"/>
      <c r="Y15" s="19"/>
      <c r="Z15" s="20"/>
      <c r="AA15" s="16"/>
      <c r="AB15" s="29"/>
      <c r="AC15" s="16"/>
      <c r="AD15" s="16"/>
      <c r="AE15" s="16"/>
      <c r="AF15" s="16"/>
      <c r="AG15" s="16"/>
      <c r="AH15" s="53"/>
      <c r="AI15" s="23"/>
      <c r="AJ15" s="16"/>
      <c r="AK15" s="23"/>
      <c r="AL15" s="23"/>
      <c r="AM15" s="54"/>
      <c r="AN15" s="16"/>
      <c r="AO15" s="23"/>
      <c r="AP15" s="23"/>
      <c r="AQ15" s="23"/>
      <c r="AR15" s="23"/>
      <c r="AS15" s="53"/>
      <c r="AT15" s="23">
        <f>10*AT11</f>
        <v>25713.003793165451</v>
      </c>
      <c r="AU15" s="16"/>
      <c r="AV15" s="23">
        <f t="shared" si="11"/>
        <v>12856.511896582726</v>
      </c>
      <c r="AW15" s="23">
        <f t="shared" si="0"/>
        <v>25713.003793165451</v>
      </c>
      <c r="AX15" s="54">
        <v>0.16500000000000001</v>
      </c>
      <c r="AY15" s="16"/>
      <c r="AZ15" s="23">
        <f t="shared" si="1"/>
        <v>2121.3211629361499</v>
      </c>
      <c r="BA15" s="23">
        <f t="shared" si="8"/>
        <v>3773.8935151816522</v>
      </c>
      <c r="BB15" s="23">
        <f t="shared" si="2"/>
        <v>2905</v>
      </c>
      <c r="BC15" s="23">
        <f t="shared" si="3"/>
        <v>3773.8935151816522</v>
      </c>
      <c r="BD15" s="23">
        <f t="shared" si="4"/>
        <v>0</v>
      </c>
      <c r="BE15" s="23">
        <f t="shared" si="5"/>
        <v>1252.4276477544977</v>
      </c>
      <c r="BF15" s="23">
        <f t="shared" si="9"/>
        <v>1252.4276477544977</v>
      </c>
      <c r="BG15" s="23">
        <f t="shared" si="10"/>
        <v>2905</v>
      </c>
      <c r="BH15" s="23">
        <f t="shared" si="6"/>
        <v>1252.4276477544977</v>
      </c>
      <c r="BI15" s="23">
        <f t="shared" si="7"/>
        <v>7590.470592451501</v>
      </c>
      <c r="BJ15" s="23"/>
      <c r="BK15" s="23"/>
      <c r="BL15" s="23"/>
      <c r="BM15" s="23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</row>
    <row r="16" spans="2:211" x14ac:dyDescent="0.2">
      <c r="D16" s="12"/>
      <c r="E16" s="12"/>
      <c r="F16" s="12"/>
      <c r="G16" s="12"/>
      <c r="H16" s="12"/>
      <c r="I16" s="12"/>
      <c r="J16" s="19"/>
      <c r="K16" s="68" t="str">
        <f>IF(M4&gt;3,"* Você sempre foi servidor público e contribuiu sempre sobre o Teto – coloque 100","* Você sempre foi servidor público – coloque um valor entre 60 e 80")</f>
        <v>* Você sempre foi servidor público – coloque um valor entre 60 e 80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21"/>
      <c r="W16" s="55"/>
      <c r="X16" s="55"/>
      <c r="Y16" s="19"/>
      <c r="Z16" s="19"/>
      <c r="AA16" s="16"/>
      <c r="AB16" s="16"/>
      <c r="AC16" s="16"/>
      <c r="AD16" s="16"/>
      <c r="AE16" s="16"/>
      <c r="AF16" s="16"/>
      <c r="AG16" s="16"/>
      <c r="AH16" s="53"/>
      <c r="AI16" s="23"/>
      <c r="AJ16" s="16"/>
      <c r="AK16" s="23"/>
      <c r="AL16" s="23"/>
      <c r="AM16" s="54"/>
      <c r="AN16" s="16"/>
      <c r="AO16" s="23"/>
      <c r="AP16" s="23"/>
      <c r="AQ16" s="23"/>
      <c r="AR16" s="23"/>
      <c r="AS16" s="53"/>
      <c r="AT16" s="23">
        <f>19.5*AT11</f>
        <v>50140.357396672633</v>
      </c>
      <c r="AU16" s="16"/>
      <c r="AV16" s="23">
        <f t="shared" si="11"/>
        <v>25713.01379316545</v>
      </c>
      <c r="AW16" s="23">
        <f t="shared" si="0"/>
        <v>50140.357396672633</v>
      </c>
      <c r="AX16" s="54">
        <v>0.19</v>
      </c>
      <c r="AY16" s="16"/>
      <c r="AZ16" s="23">
        <f>(AW16-AV16)*AX16</f>
        <v>4641.1952846663644</v>
      </c>
      <c r="BA16" s="23">
        <f t="shared" si="8"/>
        <v>8415.0887998480175</v>
      </c>
      <c r="BB16" s="23">
        <f t="shared" si="2"/>
        <v>2905</v>
      </c>
      <c r="BC16" s="23">
        <f t="shared" si="3"/>
        <v>8415.0887998480175</v>
      </c>
      <c r="BD16" s="23">
        <f t="shared" si="4"/>
        <v>0</v>
      </c>
      <c r="BE16" s="23">
        <f t="shared" si="5"/>
        <v>-868.89351518165222</v>
      </c>
      <c r="BF16" s="23">
        <f t="shared" si="9"/>
        <v>0</v>
      </c>
      <c r="BG16" s="23">
        <f t="shared" si="10"/>
        <v>2905</v>
      </c>
      <c r="BH16" s="23">
        <f t="shared" si="6"/>
        <v>0</v>
      </c>
      <c r="BI16" s="23">
        <f t="shared" si="7"/>
        <v>0</v>
      </c>
      <c r="BJ16" s="23"/>
      <c r="BK16" s="23"/>
      <c r="BL16" s="23"/>
      <c r="BM16" s="23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</row>
    <row r="17" spans="4:211" x14ac:dyDescent="0.2">
      <c r="D17" s="12"/>
      <c r="E17" s="69" t="s">
        <v>20</v>
      </c>
      <c r="F17" s="70"/>
      <c r="G17" s="70"/>
      <c r="H17" s="71">
        <f>IF(H4=0,0,MAX(AD2,AD19))</f>
        <v>16565.099742323957</v>
      </c>
      <c r="I17" s="14"/>
      <c r="J17" s="21"/>
      <c r="K17" s="68" t="s">
        <v>25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21"/>
      <c r="W17" s="21"/>
      <c r="X17" s="21"/>
      <c r="Y17" s="19"/>
      <c r="Z17" s="1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3"/>
      <c r="AL17" s="23"/>
      <c r="AM17" s="54"/>
      <c r="AN17" s="16"/>
      <c r="AO17" s="23"/>
      <c r="AP17" s="23"/>
      <c r="AQ17" s="23"/>
      <c r="AR17" s="23"/>
      <c r="AS17" s="16"/>
      <c r="AT17" s="16"/>
      <c r="AU17" s="16"/>
      <c r="AV17" s="23">
        <f t="shared" si="11"/>
        <v>50140.367396672635</v>
      </c>
      <c r="AW17" s="23" t="s">
        <v>14</v>
      </c>
      <c r="AX17" s="54">
        <v>0.22</v>
      </c>
      <c r="AY17" s="16"/>
      <c r="AZ17" s="23">
        <f>IF(BD17&lt;0,0,BD17)</f>
        <v>0</v>
      </c>
      <c r="BA17" s="23"/>
      <c r="BB17" s="23"/>
      <c r="BC17" s="23"/>
      <c r="BD17" s="23">
        <f>$H$4-BA16</f>
        <v>-5510.0887998480175</v>
      </c>
      <c r="BE17" s="23"/>
      <c r="BF17" s="23"/>
      <c r="BG17" s="23"/>
      <c r="BH17" s="23">
        <f>IF(BD17&lt;0,0,BD17)</f>
        <v>0</v>
      </c>
      <c r="BI17" s="23">
        <f t="shared" si="7"/>
        <v>0</v>
      </c>
      <c r="BJ17" s="23"/>
      <c r="BK17" s="23"/>
      <c r="BL17" s="23"/>
      <c r="BM17" s="23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</row>
    <row r="18" spans="4:211" x14ac:dyDescent="0.2">
      <c r="D18" s="12"/>
      <c r="E18" s="72"/>
      <c r="F18" s="73"/>
      <c r="G18" s="73" t="s">
        <v>22</v>
      </c>
      <c r="H18" s="74">
        <f>H17-H12</f>
        <v>8320.8965627453581</v>
      </c>
      <c r="I18" s="14"/>
      <c r="J18" s="21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1"/>
      <c r="W18" s="21"/>
      <c r="X18" s="21"/>
      <c r="Y18" s="19"/>
      <c r="Z18" s="1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23"/>
      <c r="BJ18" s="23"/>
      <c r="BK18" s="16"/>
      <c r="BL18" s="16"/>
      <c r="BM18" s="23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</row>
    <row r="19" spans="4:211" x14ac:dyDescent="0.2">
      <c r="D19" s="12"/>
      <c r="E19" s="75"/>
      <c r="F19" s="76"/>
      <c r="G19" s="76" t="str">
        <f>IF(P16&lt;0,"Aumento=","Perda=")</f>
        <v>Perda=</v>
      </c>
      <c r="H19" s="77">
        <f>IF(H4=0,0,H18/AD19)</f>
        <v>0.50231490858370165</v>
      </c>
      <c r="I19" s="78"/>
      <c r="J19" s="79" t="s">
        <v>28</v>
      </c>
      <c r="K19" s="25"/>
      <c r="L19" s="25"/>
      <c r="M19" s="66"/>
      <c r="N19" s="66"/>
      <c r="O19" s="66"/>
      <c r="P19" s="66"/>
      <c r="Q19" s="66"/>
      <c r="R19" s="80">
        <f>IF(M4&gt;3,AD8,AD6)</f>
        <v>16357.54599122738</v>
      </c>
      <c r="S19" s="19"/>
      <c r="T19" s="19"/>
      <c r="U19" s="20"/>
      <c r="V19" s="81"/>
      <c r="W19" s="21"/>
      <c r="X19" s="21"/>
      <c r="Y19" s="19"/>
      <c r="Z19" s="19"/>
      <c r="AA19" s="16"/>
      <c r="AB19" s="16"/>
      <c r="AC19" s="16"/>
      <c r="AD19" s="23">
        <f>IF(M4&gt;3,AA9,AA8)</f>
        <v>16565.099742323957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23">
        <f>SUM(BI10:BI17)</f>
        <v>20446.932489034225</v>
      </c>
      <c r="BJ19" s="23"/>
      <c r="BK19" s="16"/>
      <c r="BL19" s="16"/>
      <c r="BM19" s="23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</row>
    <row r="20" spans="4:211" x14ac:dyDescent="0.2">
      <c r="D20" s="12"/>
      <c r="E20" s="12"/>
      <c r="F20" s="12"/>
      <c r="G20" s="12"/>
      <c r="H20" s="12"/>
      <c r="I20" s="12"/>
      <c r="J20" s="82"/>
      <c r="K20" s="43" t="s">
        <v>26</v>
      </c>
      <c r="L20" s="43"/>
      <c r="M20" s="83"/>
      <c r="N20" s="83"/>
      <c r="O20" s="83"/>
      <c r="P20" s="83"/>
      <c r="Q20" s="83"/>
      <c r="R20" s="84">
        <f>IF(H4=0,0,MAX(AD2,R19*AD11/100))</f>
        <v>11777.433113683714</v>
      </c>
      <c r="S20" s="19"/>
      <c r="T20" s="19"/>
      <c r="U20" s="19"/>
      <c r="V20" s="21"/>
      <c r="W20" s="81"/>
      <c r="X20" s="81"/>
      <c r="Y20" s="19"/>
      <c r="Z20" s="1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23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23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</row>
    <row r="21" spans="4:211" x14ac:dyDescent="0.2">
      <c r="D21" s="12"/>
      <c r="E21" s="12"/>
      <c r="F21" s="12"/>
      <c r="G21" s="12"/>
      <c r="H21" s="12"/>
      <c r="I21" s="12"/>
      <c r="J21" s="85"/>
      <c r="K21" s="85"/>
      <c r="L21" s="85"/>
      <c r="M21" s="85"/>
      <c r="N21" s="85"/>
      <c r="O21" s="85"/>
      <c r="P21" s="85"/>
      <c r="Q21" s="85"/>
      <c r="R21" s="85"/>
      <c r="S21" s="19"/>
      <c r="T21" s="19"/>
      <c r="U21" s="19"/>
      <c r="V21" s="21"/>
      <c r="W21" s="21"/>
      <c r="X21" s="21"/>
      <c r="Y21" s="19"/>
      <c r="Z21" s="19"/>
      <c r="AA21" s="16"/>
      <c r="AB21" s="16"/>
      <c r="AC21" s="16"/>
      <c r="AD21" s="16"/>
      <c r="AE21" s="16"/>
      <c r="AF21" s="16"/>
      <c r="AG21" s="16"/>
      <c r="AH21" s="16"/>
      <c r="AI21" s="29"/>
      <c r="AJ21" s="16"/>
      <c r="AK21" s="16"/>
      <c r="AL21" s="16"/>
      <c r="AM21" s="16"/>
      <c r="AN21" s="16"/>
      <c r="AO21" s="16"/>
      <c r="AP21" s="16"/>
      <c r="AQ21" s="23"/>
      <c r="AR21" s="16"/>
      <c r="AS21" s="16"/>
      <c r="AT21" s="16"/>
      <c r="AU21" s="16"/>
      <c r="AV21" s="16"/>
      <c r="AW21" s="16"/>
      <c r="AX21" s="29"/>
      <c r="AY21" s="16"/>
      <c r="AZ21" s="16"/>
      <c r="BA21" s="16"/>
      <c r="BB21" s="16"/>
      <c r="BC21" s="16"/>
      <c r="BD21" s="16"/>
      <c r="BE21" s="16"/>
      <c r="BF21" s="23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</row>
    <row r="22" spans="4:211" x14ac:dyDescent="0.2">
      <c r="D22" s="12"/>
      <c r="E22" s="12"/>
      <c r="F22" s="12"/>
      <c r="G22" s="12"/>
      <c r="H22" s="12"/>
      <c r="I22" s="12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1"/>
      <c r="W22" s="21"/>
      <c r="X22" s="21"/>
      <c r="Y22" s="19"/>
      <c r="Z22" s="1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</row>
    <row r="23" spans="4:211" x14ac:dyDescent="0.2">
      <c r="D23" s="12"/>
      <c r="E23" s="12"/>
      <c r="F23" s="12"/>
      <c r="G23" s="12"/>
      <c r="H23" s="12"/>
      <c r="I23" s="1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1"/>
      <c r="W23" s="21"/>
      <c r="X23" s="21"/>
      <c r="Y23" s="19"/>
      <c r="Z23" s="1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</row>
    <row r="24" spans="4:211" x14ac:dyDescent="0.2">
      <c r="D24" s="12"/>
      <c r="E24" s="12"/>
      <c r="F24" s="12"/>
      <c r="G24" s="12"/>
      <c r="H24" s="12"/>
      <c r="I24" s="1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1"/>
      <c r="W24" s="21"/>
      <c r="X24" s="21"/>
      <c r="Y24" s="19"/>
      <c r="Z24" s="1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</row>
    <row r="25" spans="4:211" x14ac:dyDescent="0.2">
      <c r="D25" s="12"/>
      <c r="E25" s="12"/>
      <c r="F25" s="12"/>
      <c r="G25" s="12"/>
      <c r="H25" s="12"/>
      <c r="I25" s="12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1"/>
      <c r="W25" s="21"/>
      <c r="X25" s="21"/>
      <c r="Y25" s="19"/>
      <c r="Z25" s="1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</row>
    <row r="26" spans="4:211" x14ac:dyDescent="0.2">
      <c r="D26" s="12"/>
      <c r="E26" s="12"/>
      <c r="F26" s="12"/>
      <c r="G26" s="12"/>
      <c r="H26" s="12"/>
      <c r="I26" s="12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  <c r="X26" s="21"/>
      <c r="Y26" s="19"/>
      <c r="Z26" s="1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</row>
    <row r="27" spans="4:211" x14ac:dyDescent="0.2">
      <c r="D27" s="12"/>
      <c r="E27" s="12"/>
      <c r="F27" s="12"/>
      <c r="G27" s="12"/>
      <c r="H27" s="12"/>
      <c r="I27" s="1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</row>
    <row r="28" spans="4:211" x14ac:dyDescent="0.2">
      <c r="D28" s="12"/>
      <c r="E28" s="12"/>
      <c r="F28" s="12"/>
      <c r="G28" s="12"/>
      <c r="H28" s="12"/>
      <c r="I28" s="12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</row>
    <row r="29" spans="4:211" x14ac:dyDescent="0.2">
      <c r="D29" s="12"/>
      <c r="E29" s="12"/>
      <c r="F29" s="12"/>
      <c r="G29" s="12"/>
      <c r="H29" s="12"/>
      <c r="I29" s="1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</row>
    <row r="30" spans="4:211" x14ac:dyDescent="0.2">
      <c r="D30" s="12"/>
      <c r="E30" s="12"/>
      <c r="F30" s="12"/>
      <c r="G30" s="12"/>
      <c r="H30" s="12"/>
      <c r="I30" s="12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</row>
    <row r="31" spans="4:211" x14ac:dyDescent="0.2">
      <c r="D31" s="12"/>
      <c r="E31" s="12"/>
      <c r="F31" s="12"/>
      <c r="G31" s="12"/>
      <c r="H31" s="12"/>
      <c r="I31" s="12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</row>
    <row r="32" spans="4:211" x14ac:dyDescent="0.2">
      <c r="D32" s="12"/>
      <c r="E32" s="12"/>
      <c r="F32" s="12"/>
      <c r="G32" s="12"/>
      <c r="H32" s="12"/>
      <c r="I32" s="12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</row>
    <row r="33" spans="4:211" x14ac:dyDescent="0.2">
      <c r="D33" s="12"/>
      <c r="E33" s="12"/>
      <c r="F33" s="12"/>
      <c r="G33" s="12"/>
      <c r="H33" s="12"/>
      <c r="I33" s="12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</row>
    <row r="34" spans="4:211" x14ac:dyDescent="0.2">
      <c r="D34" s="12"/>
      <c r="E34" s="12"/>
      <c r="F34" s="12"/>
      <c r="G34" s="12"/>
      <c r="H34" s="12"/>
      <c r="I34" s="12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</row>
    <row r="35" spans="4:211" x14ac:dyDescent="0.2">
      <c r="D35" s="12"/>
      <c r="E35" s="12"/>
      <c r="F35" s="12"/>
      <c r="G35" s="12"/>
      <c r="H35" s="12"/>
      <c r="I35" s="12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</row>
    <row r="36" spans="4:211" x14ac:dyDescent="0.2">
      <c r="D36" s="12"/>
      <c r="E36" s="12"/>
      <c r="F36" s="12"/>
      <c r="G36" s="12"/>
      <c r="H36" s="12"/>
      <c r="I36" s="1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</row>
    <row r="37" spans="4:211" x14ac:dyDescent="0.2">
      <c r="D37" s="12"/>
      <c r="E37" s="12"/>
      <c r="F37" s="12"/>
      <c r="G37" s="12"/>
      <c r="H37" s="12"/>
      <c r="I37" s="12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</row>
    <row r="38" spans="4:211" x14ac:dyDescent="0.2">
      <c r="D38" s="12"/>
      <c r="E38" s="12"/>
      <c r="F38" s="12"/>
      <c r="G38" s="12"/>
      <c r="H38" s="12"/>
      <c r="I38" s="1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</row>
    <row r="39" spans="4:211" x14ac:dyDescent="0.2">
      <c r="D39" s="12"/>
      <c r="E39" s="12"/>
      <c r="F39" s="12"/>
      <c r="G39" s="12"/>
      <c r="H39" s="12"/>
      <c r="I39" s="1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</row>
    <row r="40" spans="4:211" x14ac:dyDescent="0.2">
      <c r="D40" s="12"/>
      <c r="E40" s="12"/>
      <c r="F40" s="12"/>
      <c r="G40" s="12"/>
      <c r="H40" s="12"/>
      <c r="I40" s="12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</row>
    <row r="41" spans="4:211" x14ac:dyDescent="0.2">
      <c r="D41" s="12"/>
      <c r="E41" s="12"/>
      <c r="F41" s="12"/>
      <c r="G41" s="12"/>
      <c r="H41" s="12"/>
      <c r="I41" s="1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</row>
    <row r="42" spans="4:211" x14ac:dyDescent="0.2">
      <c r="D42" s="12"/>
      <c r="E42" s="12"/>
      <c r="F42" s="12"/>
      <c r="G42" s="12"/>
      <c r="H42" s="12"/>
      <c r="I42" s="1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</row>
    <row r="43" spans="4:211" x14ac:dyDescent="0.2">
      <c r="D43" s="12"/>
      <c r="E43" s="12"/>
      <c r="F43" s="12"/>
      <c r="G43" s="12"/>
      <c r="H43" s="12"/>
      <c r="I43" s="1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</row>
    <row r="44" spans="4:211" x14ac:dyDescent="0.2"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86"/>
      <c r="X44" s="86"/>
      <c r="Y44" s="86"/>
      <c r="Z44" s="8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</row>
    <row r="45" spans="4:211" x14ac:dyDescent="0.2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86"/>
      <c r="X45" s="86"/>
      <c r="Y45" s="86"/>
      <c r="Z45" s="8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</row>
    <row r="46" spans="4:211" x14ac:dyDescent="0.2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86"/>
      <c r="X46" s="86"/>
      <c r="Y46" s="86"/>
      <c r="Z46" s="8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</row>
    <row r="47" spans="4:211" x14ac:dyDescent="0.2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86"/>
      <c r="X47" s="86"/>
      <c r="Y47" s="86"/>
      <c r="Z47" s="8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</row>
    <row r="48" spans="4:211" x14ac:dyDescent="0.2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86"/>
      <c r="X48" s="86"/>
      <c r="Y48" s="86"/>
      <c r="Z48" s="8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</row>
    <row r="49" spans="4:211" x14ac:dyDescent="0.2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86"/>
      <c r="X49" s="86"/>
      <c r="Y49" s="86"/>
      <c r="Z49" s="8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</row>
    <row r="50" spans="4:211" x14ac:dyDescent="0.2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86"/>
      <c r="X50" s="86"/>
      <c r="Y50" s="86"/>
      <c r="Z50" s="8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</row>
    <row r="51" spans="4:211" x14ac:dyDescent="0.2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86"/>
      <c r="X51" s="86"/>
      <c r="Y51" s="86"/>
      <c r="Z51" s="8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</row>
    <row r="52" spans="4:211" x14ac:dyDescent="0.2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86"/>
      <c r="X52" s="86"/>
      <c r="Y52" s="86"/>
      <c r="Z52" s="8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</row>
    <row r="53" spans="4:211" x14ac:dyDescent="0.2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86"/>
      <c r="X53" s="86"/>
      <c r="Y53" s="86"/>
      <c r="Z53" s="8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</row>
    <row r="54" spans="4:211" x14ac:dyDescent="0.2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86"/>
      <c r="X54" s="86"/>
      <c r="Y54" s="86"/>
      <c r="Z54" s="8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</row>
    <row r="55" spans="4:211" x14ac:dyDescent="0.2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86"/>
      <c r="X55" s="86"/>
      <c r="Y55" s="86"/>
      <c r="Z55" s="8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</row>
    <row r="56" spans="4:211" x14ac:dyDescent="0.2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86"/>
      <c r="X56" s="86"/>
      <c r="Y56" s="86"/>
      <c r="Z56" s="8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</row>
    <row r="57" spans="4:211" x14ac:dyDescent="0.2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86"/>
      <c r="X57" s="86"/>
      <c r="Y57" s="86"/>
      <c r="Z57" s="8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</row>
    <row r="58" spans="4:211" x14ac:dyDescent="0.2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86"/>
      <c r="X58" s="86"/>
      <c r="Y58" s="86"/>
      <c r="Z58" s="8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</row>
    <row r="59" spans="4:211" x14ac:dyDescent="0.2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86"/>
      <c r="X59" s="86"/>
      <c r="Y59" s="86"/>
      <c r="Z59" s="8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</row>
    <row r="60" spans="4:211" x14ac:dyDescent="0.2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86"/>
      <c r="X60" s="86"/>
      <c r="Y60" s="86"/>
      <c r="Z60" s="8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</row>
    <row r="61" spans="4:211" x14ac:dyDescent="0.2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86"/>
      <c r="X61" s="86"/>
      <c r="Y61" s="86"/>
      <c r="Z61" s="8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</row>
    <row r="62" spans="4:211" x14ac:dyDescent="0.2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86"/>
      <c r="X62" s="86"/>
      <c r="Y62" s="86"/>
      <c r="Z62" s="8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</row>
    <row r="63" spans="4:211" x14ac:dyDescent="0.2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86"/>
      <c r="X63" s="86"/>
      <c r="Y63" s="86"/>
      <c r="Z63" s="8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</row>
    <row r="64" spans="4:211" x14ac:dyDescent="0.2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86"/>
      <c r="X64" s="86"/>
      <c r="Y64" s="86"/>
      <c r="Z64" s="8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</row>
    <row r="65" spans="4:211" x14ac:dyDescent="0.2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86"/>
      <c r="X65" s="86"/>
      <c r="Y65" s="86"/>
      <c r="Z65" s="8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</row>
    <row r="66" spans="4:211" x14ac:dyDescent="0.2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6"/>
      <c r="X66" s="86"/>
      <c r="Y66" s="86"/>
      <c r="Z66" s="8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</row>
    <row r="67" spans="4:211" x14ac:dyDescent="0.2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86"/>
      <c r="X67" s="86"/>
      <c r="Y67" s="86"/>
      <c r="Z67" s="8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</row>
    <row r="68" spans="4:211" x14ac:dyDescent="0.2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86"/>
      <c r="X68" s="86"/>
      <c r="Y68" s="86"/>
      <c r="Z68" s="8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</row>
    <row r="69" spans="4:211" x14ac:dyDescent="0.2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86"/>
      <c r="X69" s="86"/>
      <c r="Y69" s="86"/>
      <c r="Z69" s="8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</row>
    <row r="70" spans="4:211" x14ac:dyDescent="0.2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86"/>
      <c r="X70" s="86"/>
      <c r="Y70" s="86"/>
      <c r="Z70" s="8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</row>
    <row r="71" spans="4:211" x14ac:dyDescent="0.2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86"/>
      <c r="X71" s="86"/>
      <c r="Y71" s="86"/>
      <c r="Z71" s="8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</row>
    <row r="72" spans="4:211" x14ac:dyDescent="0.2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5"/>
      <c r="X72" s="15"/>
      <c r="Y72" s="12"/>
      <c r="Z72" s="12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</row>
    <row r="73" spans="4:211" x14ac:dyDescent="0.2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5"/>
      <c r="X73" s="15"/>
      <c r="Y73" s="12"/>
      <c r="Z73" s="12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</row>
    <row r="74" spans="4:211" x14ac:dyDescent="0.2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5"/>
      <c r="X74" s="15"/>
      <c r="Y74" s="12"/>
      <c r="Z74" s="12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</row>
    <row r="75" spans="4:211" x14ac:dyDescent="0.2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5"/>
      <c r="X75" s="15"/>
      <c r="Y75" s="12"/>
      <c r="Z75" s="12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</row>
    <row r="76" spans="4:211" x14ac:dyDescent="0.2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5"/>
      <c r="X76" s="15"/>
      <c r="Y76" s="12"/>
      <c r="Z76" s="12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</row>
    <row r="77" spans="4:211" x14ac:dyDescent="0.2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5"/>
      <c r="X77" s="15"/>
      <c r="Y77" s="12"/>
      <c r="Z77" s="12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</row>
    <row r="78" spans="4:211" x14ac:dyDescent="0.2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5"/>
      <c r="X78" s="15"/>
      <c r="Y78" s="12"/>
      <c r="Z78" s="12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</row>
    <row r="79" spans="4:211" x14ac:dyDescent="0.2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5"/>
      <c r="X79" s="15"/>
      <c r="Y79" s="12"/>
      <c r="Z79" s="12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</row>
    <row r="80" spans="4:211" x14ac:dyDescent="0.2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5"/>
      <c r="X80" s="15"/>
      <c r="Y80" s="12"/>
      <c r="Z80" s="12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</row>
    <row r="81" spans="4:211" x14ac:dyDescent="0.2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5"/>
      <c r="X81" s="15"/>
      <c r="Y81" s="12"/>
      <c r="Z81" s="12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</row>
    <row r="82" spans="4:211" x14ac:dyDescent="0.2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5"/>
      <c r="X82" s="15"/>
      <c r="Y82" s="12"/>
      <c r="Z82" s="12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</row>
    <row r="83" spans="4:211" x14ac:dyDescent="0.2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5"/>
      <c r="X83" s="15"/>
      <c r="Y83" s="12"/>
      <c r="Z83" s="12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</row>
    <row r="84" spans="4:211" x14ac:dyDescent="0.2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5"/>
      <c r="X84" s="15"/>
      <c r="Y84" s="12"/>
      <c r="Z84" s="12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</row>
    <row r="85" spans="4:211" x14ac:dyDescent="0.2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5"/>
      <c r="X85" s="15"/>
      <c r="Y85" s="12"/>
      <c r="Z85" s="12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</row>
    <row r="86" spans="4:211" x14ac:dyDescent="0.2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5"/>
      <c r="X86" s="15"/>
      <c r="Y86" s="12"/>
      <c r="Z86" s="12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</row>
    <row r="87" spans="4:211" x14ac:dyDescent="0.2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5"/>
      <c r="X87" s="15"/>
      <c r="Y87" s="12"/>
      <c r="Z87" s="12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</row>
    <row r="88" spans="4:211" x14ac:dyDescent="0.2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5"/>
      <c r="X88" s="15"/>
      <c r="Y88" s="12"/>
      <c r="Z88" s="12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</row>
    <row r="89" spans="4:211" x14ac:dyDescent="0.2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5"/>
      <c r="X89" s="15"/>
      <c r="Y89" s="12"/>
      <c r="Z89" s="12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</row>
    <row r="90" spans="4:211" x14ac:dyDescent="0.2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5"/>
      <c r="X90" s="15"/>
      <c r="Y90" s="12"/>
      <c r="Z90" s="12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</row>
    <row r="91" spans="4:211" x14ac:dyDescent="0.2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5"/>
      <c r="X91" s="15"/>
      <c r="Y91" s="12"/>
      <c r="Z91" s="12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</row>
    <row r="92" spans="4:211" x14ac:dyDescent="0.2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5"/>
      <c r="X92" s="15"/>
      <c r="Y92" s="12"/>
      <c r="Z92" s="12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</row>
    <row r="93" spans="4:211" x14ac:dyDescent="0.2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5"/>
      <c r="X93" s="15"/>
      <c r="Y93" s="12"/>
      <c r="Z93" s="12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</row>
    <row r="94" spans="4:211" x14ac:dyDescent="0.2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5"/>
      <c r="X94" s="15"/>
      <c r="Y94" s="12"/>
      <c r="Z94" s="12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</row>
    <row r="95" spans="4:211" x14ac:dyDescent="0.2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5"/>
      <c r="X95" s="15"/>
      <c r="Y95" s="12"/>
      <c r="Z95" s="12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</row>
    <row r="96" spans="4:211" x14ac:dyDescent="0.2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5"/>
      <c r="X96" s="15"/>
      <c r="Y96" s="12"/>
      <c r="Z96" s="12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</row>
    <row r="97" spans="4:211" x14ac:dyDescent="0.2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5"/>
      <c r="X97" s="15"/>
      <c r="Y97" s="12"/>
      <c r="Z97" s="12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</row>
    <row r="98" spans="4:211" x14ac:dyDescent="0.2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5"/>
      <c r="X98" s="15"/>
      <c r="Y98" s="12"/>
      <c r="Z98" s="12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</row>
    <row r="99" spans="4:211" x14ac:dyDescent="0.2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5"/>
      <c r="X99" s="15"/>
      <c r="Y99" s="12"/>
      <c r="Z99" s="12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</row>
    <row r="100" spans="4:211" x14ac:dyDescent="0.2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5"/>
      <c r="X100" s="15"/>
      <c r="Y100" s="12"/>
      <c r="Z100" s="12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</row>
    <row r="101" spans="4:211" x14ac:dyDescent="0.2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5"/>
      <c r="X101" s="15"/>
      <c r="Y101" s="12"/>
      <c r="Z101" s="12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</row>
    <row r="102" spans="4:211" x14ac:dyDescent="0.2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5"/>
      <c r="X102" s="15"/>
      <c r="Y102" s="12"/>
      <c r="Z102" s="12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</row>
    <row r="103" spans="4:211" x14ac:dyDescent="0.2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5"/>
      <c r="X103" s="15"/>
      <c r="Y103" s="12"/>
      <c r="Z103" s="12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</row>
    <row r="104" spans="4:211" x14ac:dyDescent="0.2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5"/>
      <c r="X104" s="15"/>
      <c r="Y104" s="12"/>
      <c r="Z104" s="12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</row>
    <row r="105" spans="4:211" x14ac:dyDescent="0.2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5"/>
      <c r="X105" s="15"/>
      <c r="Y105" s="12"/>
      <c r="Z105" s="12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</row>
    <row r="106" spans="4:211" x14ac:dyDescent="0.2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5"/>
      <c r="X106" s="15"/>
      <c r="Y106" s="12"/>
      <c r="Z106" s="12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</row>
    <row r="107" spans="4:211" x14ac:dyDescent="0.2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5"/>
      <c r="X107" s="15"/>
      <c r="Y107" s="12"/>
      <c r="Z107" s="12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</row>
    <row r="108" spans="4:211" x14ac:dyDescent="0.2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5"/>
      <c r="X108" s="15"/>
      <c r="Y108" s="12"/>
      <c r="Z108" s="12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</row>
    <row r="109" spans="4:211" x14ac:dyDescent="0.2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5"/>
      <c r="X109" s="15"/>
      <c r="Y109" s="12"/>
      <c r="Z109" s="12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</row>
    <row r="110" spans="4:211" x14ac:dyDescent="0.2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5"/>
      <c r="X110" s="15"/>
      <c r="Y110" s="12"/>
      <c r="Z110" s="12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</row>
    <row r="111" spans="4:211" x14ac:dyDescent="0.2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5"/>
      <c r="X111" s="15"/>
      <c r="Y111" s="12"/>
      <c r="Z111" s="12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</row>
    <row r="112" spans="4:211" x14ac:dyDescent="0.2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5"/>
      <c r="X112" s="15"/>
      <c r="Y112" s="12"/>
      <c r="Z112" s="12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</row>
    <row r="113" spans="4:211" x14ac:dyDescent="0.2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5"/>
      <c r="X113" s="15"/>
      <c r="Y113" s="12"/>
      <c r="Z113" s="12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</row>
    <row r="114" spans="4:211" x14ac:dyDescent="0.2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5"/>
      <c r="X114" s="15"/>
      <c r="Y114" s="12"/>
      <c r="Z114" s="12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</row>
    <row r="115" spans="4:211" x14ac:dyDescent="0.2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5"/>
      <c r="X115" s="15"/>
      <c r="Y115" s="12"/>
      <c r="Z115" s="12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</row>
    <row r="116" spans="4:211" x14ac:dyDescent="0.2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5"/>
      <c r="X116" s="15"/>
      <c r="Y116" s="12"/>
      <c r="Z116" s="12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</row>
    <row r="117" spans="4:211" x14ac:dyDescent="0.2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5"/>
      <c r="X117" s="15"/>
      <c r="Y117" s="12"/>
      <c r="Z117" s="12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</row>
    <row r="118" spans="4:211" x14ac:dyDescent="0.2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5"/>
      <c r="X118" s="15"/>
      <c r="Y118" s="12"/>
      <c r="Z118" s="12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</row>
    <row r="119" spans="4:211" x14ac:dyDescent="0.2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5"/>
      <c r="X119" s="15"/>
      <c r="Y119" s="12"/>
      <c r="Z119" s="12"/>
      <c r="AA119" s="12"/>
      <c r="AB119" s="12"/>
      <c r="AC119" s="15"/>
      <c r="AD119" s="12"/>
      <c r="AE119" s="12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</row>
    <row r="120" spans="4:211" x14ac:dyDescent="0.2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5"/>
      <c r="X120" s="15"/>
      <c r="Y120" s="12"/>
      <c r="Z120" s="12"/>
      <c r="AA120" s="12"/>
      <c r="AB120" s="12"/>
      <c r="AC120" s="15"/>
      <c r="AD120" s="12"/>
      <c r="AE120" s="12"/>
      <c r="AF120" s="12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</row>
    <row r="121" spans="4:211" x14ac:dyDescent="0.2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5"/>
      <c r="X121" s="15"/>
      <c r="Y121" s="12"/>
      <c r="Z121" s="12"/>
      <c r="AA121" s="12"/>
      <c r="AB121" s="12"/>
      <c r="AC121" s="15"/>
      <c r="AD121" s="12"/>
      <c r="AE121" s="12"/>
      <c r="AF121" s="12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</row>
    <row r="122" spans="4:211" x14ac:dyDescent="0.2"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5"/>
      <c r="X122" s="15"/>
      <c r="Y122" s="12"/>
      <c r="Z122" s="12"/>
      <c r="AA122" s="12"/>
      <c r="AB122" s="12"/>
      <c r="AC122" s="15"/>
      <c r="AD122" s="12"/>
      <c r="AE122" s="12"/>
      <c r="AF122" s="12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</row>
    <row r="123" spans="4:211" x14ac:dyDescent="0.2"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5"/>
      <c r="X123" s="15"/>
      <c r="Y123" s="12"/>
      <c r="Z123" s="12"/>
      <c r="AA123" s="12"/>
      <c r="AB123" s="12"/>
      <c r="AC123" s="15"/>
      <c r="AD123" s="12"/>
      <c r="AE123" s="12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</row>
    <row r="124" spans="4:211" x14ac:dyDescent="0.2"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5"/>
      <c r="X124" s="15"/>
      <c r="Y124" s="12"/>
      <c r="Z124" s="12"/>
      <c r="AA124" s="12"/>
      <c r="AB124" s="12"/>
      <c r="AC124" s="15"/>
      <c r="AD124" s="12"/>
      <c r="AE124" s="12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</row>
    <row r="125" spans="4:211" x14ac:dyDescent="0.2"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5"/>
      <c r="X125" s="15"/>
      <c r="Y125" s="12"/>
      <c r="Z125" s="12"/>
      <c r="AA125" s="12"/>
      <c r="AB125" s="12"/>
      <c r="AC125" s="15"/>
      <c r="AD125" s="12"/>
      <c r="AE125" s="12"/>
      <c r="AF125" s="12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</row>
    <row r="126" spans="4:211" x14ac:dyDescent="0.2"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5"/>
      <c r="X126" s="15"/>
      <c r="Y126" s="12"/>
      <c r="Z126" s="12"/>
      <c r="AA126" s="12"/>
      <c r="AB126" s="12"/>
      <c r="AC126" s="15"/>
      <c r="AD126" s="12"/>
      <c r="AE126" s="12"/>
      <c r="AF126" s="12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</row>
    <row r="127" spans="4:211" x14ac:dyDescent="0.2"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5"/>
      <c r="X127" s="15"/>
      <c r="Y127" s="12"/>
      <c r="Z127" s="12"/>
      <c r="AA127" s="12"/>
      <c r="AB127" s="12"/>
      <c r="AC127" s="15"/>
      <c r="AD127" s="12"/>
      <c r="AE127" s="12"/>
      <c r="AF127" s="12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</row>
    <row r="128" spans="4:211" x14ac:dyDescent="0.2"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5"/>
      <c r="X128" s="15"/>
      <c r="Y128" s="12"/>
      <c r="Z128" s="12"/>
      <c r="AA128" s="12"/>
      <c r="AB128" s="12"/>
      <c r="AC128" s="15"/>
      <c r="AD128" s="12"/>
      <c r="AE128" s="12"/>
      <c r="AF128" s="12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</row>
    <row r="129" spans="4:123" x14ac:dyDescent="0.2"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5"/>
      <c r="X129" s="15"/>
      <c r="Y129" s="12"/>
      <c r="Z129" s="12"/>
      <c r="AA129" s="12"/>
      <c r="AB129" s="12"/>
      <c r="AC129" s="15"/>
      <c r="AD129" s="12"/>
      <c r="AE129" s="12"/>
      <c r="AF129" s="12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</row>
    <row r="130" spans="4:123" x14ac:dyDescent="0.2"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5"/>
      <c r="X130" s="15"/>
      <c r="Y130" s="12"/>
      <c r="Z130" s="12"/>
      <c r="AA130" s="12"/>
      <c r="AB130" s="12"/>
      <c r="AC130" s="15"/>
      <c r="AD130" s="12"/>
      <c r="AE130" s="12"/>
      <c r="AF130" s="12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</row>
    <row r="131" spans="4:123" x14ac:dyDescent="0.2"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5"/>
      <c r="X131" s="15"/>
      <c r="Y131" s="12"/>
      <c r="Z131" s="12"/>
      <c r="AA131" s="12"/>
      <c r="AB131" s="12"/>
      <c r="AC131" s="15"/>
      <c r="AD131" s="12"/>
      <c r="AE131" s="12"/>
      <c r="AF131" s="12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</row>
    <row r="132" spans="4:123" x14ac:dyDescent="0.2"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5"/>
      <c r="X132" s="15"/>
      <c r="Y132" s="12"/>
      <c r="Z132" s="12"/>
      <c r="AA132" s="12"/>
      <c r="AB132" s="12"/>
      <c r="AC132" s="15"/>
      <c r="AD132" s="12"/>
      <c r="AE132" s="12"/>
      <c r="AF132" s="12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</row>
    <row r="133" spans="4:123" x14ac:dyDescent="0.2"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5"/>
      <c r="X133" s="15"/>
      <c r="Y133" s="12"/>
      <c r="Z133" s="12"/>
      <c r="AA133" s="12"/>
      <c r="AB133" s="12"/>
      <c r="AC133" s="15"/>
      <c r="AD133" s="12"/>
      <c r="AE133" s="12"/>
      <c r="AF133" s="12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</row>
    <row r="134" spans="4:123" x14ac:dyDescent="0.2"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5"/>
      <c r="X134" s="15"/>
      <c r="Y134" s="12"/>
      <c r="Z134" s="12"/>
      <c r="AA134" s="12"/>
      <c r="AB134" s="12"/>
      <c r="AC134" s="15"/>
      <c r="AD134" s="12"/>
      <c r="AE134" s="12"/>
      <c r="AF134" s="12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</row>
    <row r="135" spans="4:123" x14ac:dyDescent="0.2"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5"/>
      <c r="X135" s="15"/>
      <c r="Y135" s="12"/>
      <c r="Z135" s="12"/>
      <c r="AA135" s="12"/>
      <c r="AB135" s="12"/>
      <c r="AC135" s="15"/>
      <c r="AD135" s="12"/>
      <c r="AE135" s="12"/>
      <c r="AF135" s="12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</row>
    <row r="136" spans="4:123" x14ac:dyDescent="0.2"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5"/>
      <c r="X136" s="15"/>
      <c r="Y136" s="12"/>
      <c r="Z136" s="12"/>
      <c r="AA136" s="12"/>
      <c r="AB136" s="12"/>
      <c r="AC136" s="15"/>
      <c r="AD136" s="12"/>
      <c r="AE136" s="12"/>
      <c r="AF136" s="12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  <row r="137" spans="4:123" x14ac:dyDescent="0.2"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5"/>
      <c r="X137" s="15"/>
      <c r="Y137" s="12"/>
      <c r="Z137" s="12"/>
      <c r="AA137" s="12"/>
      <c r="AB137" s="12"/>
      <c r="AC137" s="15"/>
      <c r="AD137" s="12"/>
      <c r="AE137" s="12"/>
      <c r="AF137" s="12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</row>
    <row r="138" spans="4:123" x14ac:dyDescent="0.2"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5"/>
      <c r="X138" s="15"/>
      <c r="Y138" s="12"/>
      <c r="Z138" s="12"/>
      <c r="AA138" s="12"/>
      <c r="AB138" s="12"/>
      <c r="AC138" s="15"/>
      <c r="AD138" s="12"/>
      <c r="AE138" s="12"/>
      <c r="AF138" s="12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</row>
    <row r="139" spans="4:123" x14ac:dyDescent="0.2"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5"/>
      <c r="X139" s="15"/>
      <c r="Y139" s="12"/>
      <c r="Z139" s="12"/>
      <c r="AA139" s="12"/>
      <c r="AB139" s="12"/>
      <c r="AC139" s="15"/>
      <c r="AD139" s="12"/>
      <c r="AE139" s="12"/>
      <c r="AF139" s="12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</row>
    <row r="140" spans="4:123" x14ac:dyDescent="0.2"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5"/>
      <c r="X140" s="15"/>
      <c r="Y140" s="12"/>
      <c r="Z140" s="12"/>
      <c r="AA140" s="12"/>
      <c r="AB140" s="12"/>
      <c r="AC140" s="15"/>
      <c r="AD140" s="12"/>
      <c r="AE140" s="12"/>
      <c r="AF140" s="12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</row>
    <row r="141" spans="4:123" x14ac:dyDescent="0.2"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5"/>
      <c r="X141" s="15"/>
      <c r="Y141" s="12"/>
      <c r="Z141" s="12"/>
      <c r="AA141" s="12"/>
      <c r="AB141" s="12"/>
      <c r="AC141" s="15"/>
      <c r="AD141" s="12"/>
      <c r="AE141" s="12"/>
      <c r="AF141" s="12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</row>
    <row r="142" spans="4:123" x14ac:dyDescent="0.2"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5"/>
      <c r="X142" s="15"/>
      <c r="Y142" s="12"/>
      <c r="Z142" s="12"/>
      <c r="AA142" s="12"/>
      <c r="AB142" s="12"/>
      <c r="AC142" s="15"/>
      <c r="AD142" s="12"/>
      <c r="AE142" s="12"/>
      <c r="AF142" s="12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</row>
    <row r="143" spans="4:123" x14ac:dyDescent="0.2"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5"/>
      <c r="X143" s="15"/>
      <c r="Y143" s="12"/>
      <c r="Z143" s="12"/>
      <c r="AA143" s="12"/>
      <c r="AB143" s="12"/>
      <c r="AC143" s="15"/>
      <c r="AD143" s="12"/>
      <c r="AE143" s="12"/>
      <c r="AF143" s="12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</row>
    <row r="144" spans="4:123" x14ac:dyDescent="0.2"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5"/>
      <c r="X144" s="15"/>
      <c r="Y144" s="12"/>
      <c r="Z144" s="12"/>
      <c r="AA144" s="12"/>
      <c r="AB144" s="12"/>
      <c r="AC144" s="15"/>
      <c r="AD144" s="12"/>
      <c r="AE144" s="12"/>
      <c r="AF144" s="12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</row>
    <row r="145" spans="4:123" x14ac:dyDescent="0.2"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5"/>
      <c r="X145" s="15"/>
      <c r="Y145" s="12"/>
      <c r="Z145" s="12"/>
      <c r="AA145" s="12"/>
      <c r="AB145" s="12"/>
      <c r="AC145" s="15"/>
      <c r="AD145" s="12"/>
      <c r="AE145" s="12"/>
      <c r="AF145" s="12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</row>
    <row r="146" spans="4:123" x14ac:dyDescent="0.2"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5"/>
      <c r="X146" s="15"/>
      <c r="Y146" s="12"/>
      <c r="Z146" s="12"/>
      <c r="AA146" s="12"/>
      <c r="AB146" s="12"/>
      <c r="AC146" s="15"/>
      <c r="AD146" s="12"/>
      <c r="AE146" s="12"/>
      <c r="AF146" s="12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</row>
    <row r="147" spans="4:123" x14ac:dyDescent="0.2"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5"/>
      <c r="X147" s="15"/>
      <c r="Y147" s="12"/>
      <c r="Z147" s="12"/>
      <c r="AA147" s="12"/>
      <c r="AB147" s="12"/>
      <c r="AC147" s="15"/>
      <c r="AD147" s="12"/>
      <c r="AE147" s="12"/>
      <c r="AF147" s="12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</row>
    <row r="148" spans="4:123" x14ac:dyDescent="0.2"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5"/>
      <c r="X148" s="15"/>
      <c r="Y148" s="12"/>
      <c r="Z148" s="12"/>
      <c r="AA148" s="12"/>
      <c r="AB148" s="12"/>
      <c r="AC148" s="15"/>
      <c r="AD148" s="12"/>
      <c r="AE148" s="12"/>
      <c r="AF148" s="12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</row>
    <row r="149" spans="4:123" x14ac:dyDescent="0.2"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5"/>
      <c r="X149" s="15"/>
      <c r="Y149" s="12"/>
      <c r="Z149" s="12"/>
      <c r="AA149" s="12"/>
      <c r="AB149" s="12"/>
      <c r="AC149" s="15"/>
      <c r="AD149" s="12"/>
      <c r="AE149" s="12"/>
      <c r="AF149" s="12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</row>
    <row r="150" spans="4:123" x14ac:dyDescent="0.2"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5"/>
      <c r="X150" s="15"/>
      <c r="Y150" s="12"/>
      <c r="Z150" s="12"/>
      <c r="AA150" s="12"/>
      <c r="AB150" s="12"/>
      <c r="AC150" s="15"/>
      <c r="AD150" s="12"/>
      <c r="AE150" s="12"/>
      <c r="AF150" s="12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</row>
    <row r="151" spans="4:123" x14ac:dyDescent="0.2"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5"/>
      <c r="X151" s="15"/>
      <c r="Y151" s="12"/>
      <c r="Z151" s="12"/>
      <c r="AA151" s="12"/>
      <c r="AB151" s="12"/>
      <c r="AC151" s="15"/>
      <c r="AD151" s="12"/>
      <c r="AE151" s="12"/>
      <c r="AF151" s="12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</row>
    <row r="152" spans="4:123" x14ac:dyDescent="0.2"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5"/>
      <c r="X152" s="15"/>
      <c r="Y152" s="12"/>
      <c r="Z152" s="12"/>
      <c r="AA152" s="12"/>
      <c r="AB152" s="12"/>
      <c r="AC152" s="15"/>
      <c r="AD152" s="12"/>
      <c r="AE152" s="12"/>
      <c r="AF152" s="12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</row>
    <row r="153" spans="4:123" x14ac:dyDescent="0.2"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5"/>
      <c r="X153" s="15"/>
      <c r="Y153" s="12"/>
      <c r="Z153" s="12"/>
      <c r="AA153" s="12"/>
      <c r="AB153" s="12"/>
      <c r="AC153" s="15"/>
      <c r="AD153" s="12"/>
      <c r="AE153" s="12"/>
      <c r="AF153" s="12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</row>
    <row r="154" spans="4:123" x14ac:dyDescent="0.2"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5"/>
      <c r="X154" s="15"/>
      <c r="Y154" s="12"/>
      <c r="Z154" s="12"/>
      <c r="AA154" s="12"/>
      <c r="AB154" s="12"/>
      <c r="AC154" s="15"/>
      <c r="AD154" s="12"/>
      <c r="AE154" s="12"/>
      <c r="AF154" s="12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</row>
    <row r="155" spans="4:123" x14ac:dyDescent="0.2"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5"/>
      <c r="X155" s="15"/>
      <c r="Y155" s="12"/>
      <c r="Z155" s="12"/>
      <c r="AA155" s="12"/>
      <c r="AB155" s="12"/>
      <c r="AC155" s="15"/>
      <c r="AD155" s="12"/>
      <c r="AE155" s="12"/>
      <c r="AF155" s="12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</row>
    <row r="156" spans="4:123" x14ac:dyDescent="0.2"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5"/>
      <c r="X156" s="15"/>
      <c r="Y156" s="12"/>
      <c r="Z156" s="12"/>
      <c r="AA156" s="12"/>
      <c r="AB156" s="12"/>
      <c r="AC156" s="15"/>
      <c r="AD156" s="12"/>
      <c r="AE156" s="12"/>
      <c r="AF156" s="12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</row>
  </sheetData>
  <sheetProtection algorithmName="SHA-512" hashValue="OqAk5hcZc0nU6qH0Sj16aKBACafXZLaLz5DeFMhh66AqDw1XNV5QIZsNkb3oYy+nCjcbwF0AGEEcHedphgwNAA==" saltValue="A1Ki0pZzjI0+BqGIiRD/lw==" spinCount="100000" sheet="1" selectLockedCells="1"/>
  <mergeCells count="18">
    <mergeCell ref="K4:L4"/>
    <mergeCell ref="K12:M12"/>
    <mergeCell ref="K14:N14"/>
    <mergeCell ref="B2:C3"/>
    <mergeCell ref="E15:G15"/>
    <mergeCell ref="E10:G10"/>
    <mergeCell ref="D2:H2"/>
    <mergeCell ref="D4:G4"/>
    <mergeCell ref="D5:G5"/>
    <mergeCell ref="D6:G6"/>
    <mergeCell ref="K20:Q20"/>
    <mergeCell ref="D7:G7"/>
    <mergeCell ref="E12:G12"/>
    <mergeCell ref="E17:G17"/>
    <mergeCell ref="N12:P12"/>
    <mergeCell ref="K17:U17"/>
    <mergeCell ref="J19:Q19"/>
    <mergeCell ref="K16:U16"/>
  </mergeCells>
  <phoneticPr fontId="2" type="noConversion"/>
  <conditionalFormatting sqref="K7:L7">
    <cfRule type="expression" dxfId="10" priority="2" stopIfTrue="1">
      <formula>$M$4=2</formula>
    </cfRule>
  </conditionalFormatting>
  <conditionalFormatting sqref="K8:L8">
    <cfRule type="expression" dxfId="9" priority="1" stopIfTrue="1">
      <formula>$M$4=3</formula>
    </cfRule>
  </conditionalFormatting>
  <conditionalFormatting sqref="K9:L9">
    <cfRule type="expression" dxfId="8" priority="3" stopIfTrue="1">
      <formula>$M$4=4</formula>
    </cfRule>
  </conditionalFormatting>
  <conditionalFormatting sqref="K10:L10">
    <cfRule type="expression" dxfId="7" priority="4" stopIfTrue="1">
      <formula>$M$4=5</formula>
    </cfRule>
  </conditionalFormatting>
  <conditionalFormatting sqref="AO5 AZ5">
    <cfRule type="cellIs" dxfId="6" priority="6" stopIfTrue="1" operator="equal">
      <formula>FALSE</formula>
    </cfRule>
  </conditionalFormatting>
  <conditionalFormatting sqref="AO10:AO17 AQ10:AR17 AP17">
    <cfRule type="cellIs" dxfId="5" priority="5" stopIfTrue="1" operator="equal">
      <formula>0</formula>
    </cfRule>
  </conditionalFormatting>
  <conditionalFormatting sqref="AP11:AP16">
    <cfRule type="cellIs" dxfId="4" priority="7" stopIfTrue="1" operator="greaterThan">
      <formula>"$I$5"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I77"/>
  <sheetViews>
    <sheetView zoomScale="130" zoomScaleNormal="130" workbookViewId="0">
      <selection activeCell="G4" sqref="G4"/>
    </sheetView>
  </sheetViews>
  <sheetFormatPr defaultRowHeight="12.75" x14ac:dyDescent="0.2"/>
  <cols>
    <col min="7" max="7" width="13.42578125" bestFit="1" customWidth="1"/>
    <col min="9" max="9" width="8.5703125" customWidth="1"/>
    <col min="10" max="10" width="14" bestFit="1" customWidth="1"/>
    <col min="11" max="11" width="12.85546875" style="1" bestFit="1" customWidth="1"/>
    <col min="13" max="13" width="16.7109375" bestFit="1" customWidth="1"/>
    <col min="14" max="14" width="11.85546875" bestFit="1" customWidth="1"/>
    <col min="15" max="15" width="2.28515625" customWidth="1"/>
    <col min="16" max="16" width="28.140625" bestFit="1" customWidth="1"/>
    <col min="17" max="17" width="11.7109375" bestFit="1" customWidth="1"/>
    <col min="18" max="18" width="12.140625" bestFit="1" customWidth="1"/>
    <col min="19" max="19" width="12.28515625" bestFit="1" customWidth="1"/>
    <col min="20" max="20" width="8.7109375" customWidth="1"/>
    <col min="21" max="21" width="12.140625" bestFit="1" customWidth="1"/>
    <col min="22" max="22" width="19.7109375" bestFit="1" customWidth="1"/>
    <col min="23" max="24" width="8.7109375" customWidth="1"/>
    <col min="25" max="28" width="11.28515625" bestFit="1" customWidth="1"/>
    <col min="29" max="29" width="12" bestFit="1" customWidth="1"/>
    <col min="30" max="30" width="11.42578125" bestFit="1" customWidth="1"/>
    <col min="31" max="32" width="10.85546875" bestFit="1" customWidth="1"/>
    <col min="33" max="33" width="11.28515625" bestFit="1" customWidth="1"/>
    <col min="34" max="34" width="11.85546875" bestFit="1" customWidth="1"/>
    <col min="35" max="87" width="8.7109375" customWidth="1"/>
  </cols>
  <sheetData>
    <row r="1" spans="1:113" x14ac:dyDescent="0.2">
      <c r="A1" s="12"/>
      <c r="B1" s="12"/>
      <c r="C1" s="12"/>
      <c r="D1" s="12"/>
      <c r="E1" s="12"/>
      <c r="F1" s="12"/>
      <c r="G1" s="12"/>
      <c r="H1" s="12"/>
      <c r="I1" s="19"/>
      <c r="J1" s="19"/>
      <c r="K1" s="21"/>
      <c r="L1" s="19"/>
      <c r="M1" s="19"/>
      <c r="N1" s="19"/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</row>
    <row r="2" spans="1:113" ht="18" x14ac:dyDescent="0.25">
      <c r="A2" s="12"/>
      <c r="B2" s="50"/>
      <c r="C2" s="87" t="s">
        <v>16</v>
      </c>
      <c r="D2" s="87"/>
      <c r="E2" s="87"/>
      <c r="F2" s="88"/>
      <c r="G2" s="88"/>
      <c r="H2" s="88"/>
      <c r="I2" s="19"/>
      <c r="J2" s="19"/>
      <c r="K2" s="21"/>
      <c r="L2" s="19"/>
      <c r="M2" s="19"/>
      <c r="N2" s="19"/>
      <c r="O2" s="1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3" x14ac:dyDescent="0.2">
      <c r="A3" s="12"/>
      <c r="B3" s="89"/>
      <c r="C3" s="12"/>
      <c r="D3" s="12"/>
      <c r="E3" s="12"/>
      <c r="F3" s="12"/>
      <c r="G3" s="12"/>
      <c r="H3" s="12"/>
      <c r="I3" s="19"/>
      <c r="J3" s="90"/>
      <c r="K3" s="91"/>
      <c r="L3" s="92"/>
      <c r="M3" s="92"/>
      <c r="N3" s="92"/>
      <c r="O3" s="9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</row>
    <row r="4" spans="1:113" x14ac:dyDescent="0.2">
      <c r="A4" s="12"/>
      <c r="B4" s="93"/>
      <c r="C4" s="36" t="s">
        <v>34</v>
      </c>
      <c r="D4" s="36"/>
      <c r="E4" s="36"/>
      <c r="F4" s="36"/>
      <c r="G4" s="7">
        <v>1500</v>
      </c>
      <c r="H4" s="12"/>
      <c r="I4" s="19"/>
      <c r="J4" s="90"/>
      <c r="K4" s="91"/>
      <c r="L4" s="92"/>
      <c r="M4" s="92"/>
      <c r="N4" s="92"/>
      <c r="O4" s="9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30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</row>
    <row r="5" spans="1:113" x14ac:dyDescent="0.2">
      <c r="A5" s="12"/>
      <c r="B5" s="94"/>
      <c r="C5" s="32" t="s">
        <v>15</v>
      </c>
      <c r="D5" s="32"/>
      <c r="E5" s="32"/>
      <c r="F5" s="32"/>
      <c r="G5" s="14">
        <f>SUM(AH10:AH14)</f>
        <v>17246.762957161543</v>
      </c>
      <c r="H5" s="12" t="b">
        <f>IF(G4=0,"ou menos*")</f>
        <v>0</v>
      </c>
      <c r="I5" s="19"/>
      <c r="J5" s="92"/>
      <c r="K5" s="91"/>
      <c r="L5" s="92"/>
      <c r="M5" s="92"/>
      <c r="N5" s="92"/>
      <c r="O5" s="92"/>
      <c r="P5" s="16"/>
      <c r="Q5" s="16"/>
      <c r="R5" s="16"/>
      <c r="S5" s="16"/>
      <c r="T5" s="16"/>
      <c r="U5" s="16"/>
      <c r="V5" s="16"/>
      <c r="W5" s="16"/>
      <c r="X5" s="16"/>
      <c r="Y5" s="34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</row>
    <row r="6" spans="1:113" ht="15" x14ac:dyDescent="0.2">
      <c r="A6" s="12"/>
      <c r="B6" s="95"/>
      <c r="C6" s="12"/>
      <c r="D6" s="50" t="b">
        <f>IF(G4=0,"*Base de Cálculo menor que o Teto do RGPS é isenta")</f>
        <v>0</v>
      </c>
      <c r="E6" s="50"/>
      <c r="F6" s="50"/>
      <c r="G6" s="50"/>
      <c r="H6" s="50"/>
      <c r="I6" s="19"/>
      <c r="J6" s="92"/>
      <c r="K6" s="91"/>
      <c r="L6" s="92"/>
      <c r="M6" s="92"/>
      <c r="N6" s="91"/>
      <c r="O6" s="91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4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</row>
    <row r="7" spans="1:113" x14ac:dyDescent="0.2">
      <c r="A7" s="12"/>
      <c r="B7" s="12"/>
      <c r="C7" s="12"/>
      <c r="D7" s="12"/>
      <c r="E7" s="12"/>
      <c r="F7" s="12"/>
      <c r="G7" s="12"/>
      <c r="H7" s="12"/>
      <c r="I7" s="19"/>
      <c r="J7" s="92"/>
      <c r="K7" s="91">
        <f>G5*(0.5+(0.1*G8))</f>
        <v>10348.057774296925</v>
      </c>
      <c r="L7" s="92"/>
      <c r="M7" s="92"/>
      <c r="N7" s="91"/>
      <c r="O7" s="91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</row>
    <row r="8" spans="1:113" ht="14.25" x14ac:dyDescent="0.2">
      <c r="A8" s="12"/>
      <c r="B8" s="12"/>
      <c r="C8" s="36" t="s">
        <v>17</v>
      </c>
      <c r="D8" s="36"/>
      <c r="E8" s="36"/>
      <c r="F8" s="36"/>
      <c r="G8" s="8">
        <v>1</v>
      </c>
      <c r="H8" s="12"/>
      <c r="I8" s="19"/>
      <c r="J8" s="90"/>
      <c r="K8" s="91"/>
      <c r="L8" s="92"/>
      <c r="M8" s="90"/>
      <c r="N8" s="91"/>
      <c r="O8" s="91"/>
      <c r="P8" s="16"/>
      <c r="Q8" s="16"/>
      <c r="R8" s="16" t="s">
        <v>13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47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</row>
    <row r="9" spans="1:113" ht="14.25" x14ac:dyDescent="0.2">
      <c r="A9" s="12"/>
      <c r="B9" s="12"/>
      <c r="C9" s="12"/>
      <c r="D9" s="12"/>
      <c r="E9" s="12"/>
      <c r="F9" s="12"/>
      <c r="G9" s="12"/>
      <c r="H9" s="12"/>
      <c r="I9" s="19"/>
      <c r="J9" s="92"/>
      <c r="K9" s="91"/>
      <c r="L9" s="92"/>
      <c r="M9" s="90"/>
      <c r="N9" s="91"/>
      <c r="O9" s="91"/>
      <c r="P9" s="2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47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</row>
    <row r="10" spans="1:113" x14ac:dyDescent="0.2">
      <c r="A10" s="12"/>
      <c r="B10" s="12"/>
      <c r="C10" s="12"/>
      <c r="D10" s="96" t="s">
        <v>19</v>
      </c>
      <c r="E10" s="96"/>
      <c r="F10" s="96"/>
      <c r="G10" s="97"/>
      <c r="H10" s="12"/>
      <c r="I10" s="19"/>
      <c r="J10" s="92"/>
      <c r="K10" s="91"/>
      <c r="L10" s="92"/>
      <c r="M10" s="92"/>
      <c r="N10" s="91"/>
      <c r="O10" s="92"/>
      <c r="P10" s="22"/>
      <c r="Q10" s="23"/>
      <c r="R10" s="53"/>
      <c r="S10" s="23">
        <f>Ativos!AD3</f>
        <v>7507.49</v>
      </c>
      <c r="T10" s="16"/>
      <c r="U10" s="23">
        <v>0</v>
      </c>
      <c r="V10" s="23">
        <f>S10</f>
        <v>7507.49</v>
      </c>
      <c r="W10" s="54">
        <v>0</v>
      </c>
      <c r="X10" s="16"/>
      <c r="Y10" s="23">
        <f>(V10-U10)*W10</f>
        <v>0</v>
      </c>
      <c r="Z10" s="23">
        <f>Y10+Z9</f>
        <v>0</v>
      </c>
      <c r="AA10" s="23">
        <f>MIN($G$4,Z10)</f>
        <v>0</v>
      </c>
      <c r="AB10" s="23">
        <f>MAX($G$4,Z10)</f>
        <v>1500</v>
      </c>
      <c r="AC10" s="23">
        <f>IF(Z10&gt;$G$4,0,Y10)</f>
        <v>0</v>
      </c>
      <c r="AD10" s="23">
        <f>IF(Z10&gt;$G$4,$G$4-Z9,0)</f>
        <v>0</v>
      </c>
      <c r="AE10" s="23">
        <f>IF(AD10&lt;0,0,AC10+AD10)</f>
        <v>0</v>
      </c>
      <c r="AF10" s="23">
        <f>AF9+AE10</f>
        <v>0</v>
      </c>
      <c r="AG10" s="23">
        <f>IF(AF10&gt;$G$4,0,AE10)</f>
        <v>0</v>
      </c>
      <c r="AH10" s="23">
        <f>V10</f>
        <v>7507.49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</row>
    <row r="11" spans="1:113" x14ac:dyDescent="0.2">
      <c r="A11" s="12"/>
      <c r="B11" s="12"/>
      <c r="C11" s="12"/>
      <c r="D11" s="85"/>
      <c r="E11" s="12"/>
      <c r="F11" s="12"/>
      <c r="G11" s="12"/>
      <c r="H11" s="12"/>
      <c r="I11" s="19"/>
      <c r="J11" s="92"/>
      <c r="K11" s="91">
        <f>IF(G8=0,0,K7)</f>
        <v>10348.057774296925</v>
      </c>
      <c r="L11" s="92"/>
      <c r="M11" s="92"/>
      <c r="N11" s="98"/>
      <c r="O11" s="92"/>
      <c r="P11" s="22"/>
      <c r="Q11" s="23"/>
      <c r="R11" s="53"/>
      <c r="S11" s="23">
        <f>Ativos!AT14</f>
        <v>12856.501896582726</v>
      </c>
      <c r="T11" s="16"/>
      <c r="U11" s="23">
        <f>V10+0.01</f>
        <v>7507.5</v>
      </c>
      <c r="V11" s="23">
        <f>S11</f>
        <v>12856.501896582726</v>
      </c>
      <c r="W11" s="54">
        <v>0.14499999999999999</v>
      </c>
      <c r="X11" s="16"/>
      <c r="Y11" s="23">
        <f>(V11-U11)*W11</f>
        <v>775.60527500449518</v>
      </c>
      <c r="Z11" s="23">
        <f>Y11+Z10</f>
        <v>775.60527500449518</v>
      </c>
      <c r="AA11" s="23">
        <f>MIN($G$4,Z11)</f>
        <v>775.60527500449518</v>
      </c>
      <c r="AB11" s="23">
        <f>MAX($G$4,Z11)</f>
        <v>1500</v>
      </c>
      <c r="AC11" s="23">
        <f>IF(Z11&gt;$G$4,0,Y11)</f>
        <v>775.60527500449518</v>
      </c>
      <c r="AD11" s="23">
        <f>IF(Z11&gt;$G$4,$G$4-Z10,0)</f>
        <v>0</v>
      </c>
      <c r="AE11" s="23">
        <f>IF(AD11&lt;0,0,AC11+AD11)</f>
        <v>775.60527500449518</v>
      </c>
      <c r="AF11" s="23">
        <f>AF10+AE11</f>
        <v>775.60527500449518</v>
      </c>
      <c r="AG11" s="23">
        <f>IF(AF11&gt;$G$4,0,AE11)</f>
        <v>775.60527500449518</v>
      </c>
      <c r="AH11" s="23">
        <f>AG11/W11</f>
        <v>5349.0018965827257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</row>
    <row r="12" spans="1:113" x14ac:dyDescent="0.2">
      <c r="A12" s="12"/>
      <c r="B12" s="12"/>
      <c r="C12" s="12"/>
      <c r="D12" s="36" t="s">
        <v>18</v>
      </c>
      <c r="E12" s="36"/>
      <c r="F12" s="36"/>
      <c r="G12" s="99">
        <f>MIN(K11,K13)</f>
        <v>10348.057774296925</v>
      </c>
      <c r="H12" s="12" t="b">
        <f>IF(G4=0,"ou menos**")</f>
        <v>0</v>
      </c>
      <c r="I12" s="19"/>
      <c r="J12" s="92"/>
      <c r="K12" s="91"/>
      <c r="L12" s="92"/>
      <c r="M12" s="92"/>
      <c r="N12" s="98"/>
      <c r="O12" s="92"/>
      <c r="P12" s="16"/>
      <c r="Q12" s="16"/>
      <c r="R12" s="53"/>
      <c r="S12" s="23">
        <f>Ativos!AT15</f>
        <v>25713.003793165451</v>
      </c>
      <c r="T12" s="16"/>
      <c r="U12" s="23">
        <f>V11+0.01</f>
        <v>12856.511896582726</v>
      </c>
      <c r="V12" s="23">
        <f>S12</f>
        <v>25713.003793165451</v>
      </c>
      <c r="W12" s="54">
        <v>0.16500000000000001</v>
      </c>
      <c r="X12" s="16"/>
      <c r="Y12" s="23">
        <f>(V12-U12)*W12</f>
        <v>2121.3211629361499</v>
      </c>
      <c r="Z12" s="23">
        <f>Y12+Z11</f>
        <v>2896.926437940645</v>
      </c>
      <c r="AA12" s="23">
        <f>MIN($G$4,Z12)</f>
        <v>1500</v>
      </c>
      <c r="AB12" s="23">
        <f>MAX($G$4,Z12)</f>
        <v>2896.926437940645</v>
      </c>
      <c r="AC12" s="23">
        <f>IF(Z12&gt;$G$4,0,Y12)</f>
        <v>0</v>
      </c>
      <c r="AD12" s="23">
        <f>IF(Z12&gt;$G$4,$G$4-Z11,0)</f>
        <v>724.39472499550482</v>
      </c>
      <c r="AE12" s="23">
        <f>IF(AD12&lt;0,0,AC12+AD12)</f>
        <v>724.39472499550482</v>
      </c>
      <c r="AF12" s="23">
        <f>AF11+AE12</f>
        <v>1500</v>
      </c>
      <c r="AG12" s="23">
        <f>IF(AF12&gt;$G$4,0,AE12)</f>
        <v>724.39472499550482</v>
      </c>
      <c r="AH12" s="23">
        <f>AG12/W12</f>
        <v>4390.271060578817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</row>
    <row r="13" spans="1:113" x14ac:dyDescent="0.2">
      <c r="A13" s="12"/>
      <c r="B13" s="12"/>
      <c r="C13" s="12"/>
      <c r="D13" s="50" t="b">
        <f>IF(G4=0,"**Valor máximo - pode ser menor se a Base for menor")</f>
        <v>0</v>
      </c>
      <c r="E13" s="50"/>
      <c r="F13" s="50"/>
      <c r="G13" s="50"/>
      <c r="H13" s="50"/>
      <c r="I13" s="19"/>
      <c r="J13" s="90"/>
      <c r="K13" s="91">
        <f>IF(G8&gt;5,G5,K7)</f>
        <v>10348.057774296925</v>
      </c>
      <c r="L13" s="92"/>
      <c r="M13" s="90"/>
      <c r="N13" s="92"/>
      <c r="O13" s="92"/>
      <c r="P13" s="16"/>
      <c r="Q13" s="16"/>
      <c r="R13" s="53"/>
      <c r="S13" s="23">
        <f>Ativos!AT16</f>
        <v>50140.357396672633</v>
      </c>
      <c r="T13" s="16"/>
      <c r="U13" s="23">
        <f>V12+0.01</f>
        <v>25713.01379316545</v>
      </c>
      <c r="V13" s="23">
        <f>S13</f>
        <v>50140.357396672633</v>
      </c>
      <c r="W13" s="54">
        <v>0.19</v>
      </c>
      <c r="X13" s="16"/>
      <c r="Y13" s="23">
        <f>(V13-U13)*W13</f>
        <v>4641.1952846663644</v>
      </c>
      <c r="Z13" s="23">
        <f>Y13+Z12</f>
        <v>7538.1217226070094</v>
      </c>
      <c r="AA13" s="23">
        <f>MIN($G$4,Z13)</f>
        <v>1500</v>
      </c>
      <c r="AB13" s="23">
        <f>MAX($G$4,Z13)</f>
        <v>7538.1217226070094</v>
      </c>
      <c r="AC13" s="23">
        <f>IF(Z13&gt;$G$4,0,Y13)</f>
        <v>0</v>
      </c>
      <c r="AD13" s="23">
        <f>IF(Z13&gt;$G$4,$G$4-Z12,0)</f>
        <v>-1396.926437940645</v>
      </c>
      <c r="AE13" s="23">
        <f>IF(AD13&lt;0,0,AC13+AD13)</f>
        <v>0</v>
      </c>
      <c r="AF13" s="23">
        <f>AF12+AE13</f>
        <v>1500</v>
      </c>
      <c r="AG13" s="23">
        <f>IF(AF13&gt;$G$4,0,AE13)</f>
        <v>0</v>
      </c>
      <c r="AH13" s="23">
        <f>AG13/W13</f>
        <v>0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</row>
    <row r="14" spans="1:113" x14ac:dyDescent="0.2">
      <c r="A14" s="12"/>
      <c r="B14" s="12"/>
      <c r="C14" s="12"/>
      <c r="D14" s="50"/>
      <c r="E14" s="50"/>
      <c r="F14" s="50"/>
      <c r="G14" s="12"/>
      <c r="H14" s="12"/>
      <c r="I14" s="19"/>
      <c r="J14" s="92"/>
      <c r="K14" s="91"/>
      <c r="L14" s="92"/>
      <c r="M14" s="90"/>
      <c r="N14" s="91"/>
      <c r="O14" s="92"/>
      <c r="P14" s="16"/>
      <c r="Q14" s="16"/>
      <c r="R14" s="16"/>
      <c r="S14" s="16"/>
      <c r="T14" s="16"/>
      <c r="U14" s="23">
        <f>V13+0.01</f>
        <v>50140.367396672635</v>
      </c>
      <c r="V14" s="23"/>
      <c r="W14" s="54">
        <v>0.22</v>
      </c>
      <c r="X14" s="16"/>
      <c r="Y14" s="23">
        <f>IF(AC14&lt;0,0,AC14)</f>
        <v>0</v>
      </c>
      <c r="Z14" s="23"/>
      <c r="AA14" s="23"/>
      <c r="AB14" s="23"/>
      <c r="AC14" s="23">
        <f>$G$4-Z13</f>
        <v>-6038.1217226070094</v>
      </c>
      <c r="AD14" s="23"/>
      <c r="AE14" s="23"/>
      <c r="AF14" s="23"/>
      <c r="AG14" s="23">
        <f>IF(AC14&lt;0,0,AC14)</f>
        <v>0</v>
      </c>
      <c r="AH14" s="23">
        <f>AG14/W14</f>
        <v>0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</row>
    <row r="15" spans="1:113" x14ac:dyDescent="0.2">
      <c r="A15" s="12"/>
      <c r="B15" s="12"/>
      <c r="C15" s="12"/>
      <c r="D15" s="100" t="s">
        <v>21</v>
      </c>
      <c r="E15" s="100"/>
      <c r="F15" s="100"/>
      <c r="G15" s="101"/>
      <c r="H15" s="12"/>
      <c r="I15" s="19"/>
      <c r="J15" s="92"/>
      <c r="K15" s="91"/>
      <c r="L15" s="92"/>
      <c r="M15" s="90"/>
      <c r="N15" s="91"/>
      <c r="O15" s="9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</row>
    <row r="16" spans="1:113" x14ac:dyDescent="0.2">
      <c r="A16" s="12"/>
      <c r="B16" s="12"/>
      <c r="C16" s="12"/>
      <c r="D16" s="101"/>
      <c r="E16" s="101"/>
      <c r="F16" s="101"/>
      <c r="G16" s="101"/>
      <c r="H16" s="12"/>
      <c r="I16" s="19"/>
      <c r="J16" s="92"/>
      <c r="K16" s="102">
        <f>G18/G17</f>
        <v>0.27762153934298522</v>
      </c>
      <c r="L16" s="92"/>
      <c r="M16" s="90"/>
      <c r="N16" s="91"/>
      <c r="O16" s="92"/>
      <c r="P16" s="22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</row>
    <row r="17" spans="1:113" x14ac:dyDescent="0.2">
      <c r="A17" s="12"/>
      <c r="B17" s="12"/>
      <c r="C17" s="12"/>
      <c r="D17" s="103" t="s">
        <v>20</v>
      </c>
      <c r="E17" s="103"/>
      <c r="F17" s="103"/>
      <c r="G17" s="104">
        <f>IF(G4=0,G5,S10+((G5-S10)*0.7))</f>
        <v>14324.98107001308</v>
      </c>
      <c r="H17" s="12" t="b">
        <f>IF(G4=0,"ou menos*")</f>
        <v>0</v>
      </c>
      <c r="I17" s="19"/>
      <c r="J17" s="92"/>
      <c r="K17" s="91"/>
      <c r="L17" s="92"/>
      <c r="M17" s="90"/>
      <c r="N17" s="102"/>
      <c r="O17" s="92"/>
      <c r="P17" s="22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</row>
    <row r="18" spans="1:113" x14ac:dyDescent="0.2">
      <c r="A18" s="12"/>
      <c r="B18" s="12"/>
      <c r="C18" s="12"/>
      <c r="D18" s="105"/>
      <c r="E18" s="105"/>
      <c r="F18" s="105" t="s">
        <v>22</v>
      </c>
      <c r="G18" s="104">
        <f>G17-G12</f>
        <v>3976.9232957161548</v>
      </c>
      <c r="H18" s="12"/>
      <c r="I18" s="19"/>
      <c r="J18" s="92"/>
      <c r="K18" s="91"/>
      <c r="L18" s="92"/>
      <c r="M18" s="92"/>
      <c r="N18" s="91"/>
      <c r="O18" s="92"/>
      <c r="P18" s="22"/>
      <c r="Q18" s="23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</row>
    <row r="19" spans="1:113" x14ac:dyDescent="0.2">
      <c r="A19" s="12"/>
      <c r="B19" s="12"/>
      <c r="C19" s="12"/>
      <c r="D19" s="105"/>
      <c r="E19" s="105"/>
      <c r="F19" s="106" t="str">
        <f>IF(K16&lt;0,"Aumento=","Perda=")</f>
        <v>Perda=</v>
      </c>
      <c r="G19" s="107">
        <f>ABS(K16)</f>
        <v>0.27762153934298522</v>
      </c>
      <c r="H19" s="12"/>
      <c r="I19" s="19"/>
      <c r="J19" s="92"/>
      <c r="K19" s="91"/>
      <c r="L19" s="92"/>
      <c r="M19" s="92"/>
      <c r="N19" s="92"/>
      <c r="O19" s="9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</row>
    <row r="20" spans="1:113" x14ac:dyDescent="0.2">
      <c r="A20" s="12"/>
      <c r="B20" s="12"/>
      <c r="C20" s="12"/>
      <c r="D20" s="12"/>
      <c r="E20" s="12"/>
      <c r="F20" s="12"/>
      <c r="G20" s="12"/>
      <c r="H20" s="12"/>
      <c r="I20" s="19"/>
      <c r="J20" s="92"/>
      <c r="K20" s="91"/>
      <c r="L20" s="92"/>
      <c r="M20" s="90"/>
      <c r="N20" s="91"/>
      <c r="O20" s="9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</row>
    <row r="21" spans="1:113" x14ac:dyDescent="0.2">
      <c r="A21" s="12"/>
      <c r="B21" s="12"/>
      <c r="C21" s="12"/>
      <c r="D21" s="12"/>
      <c r="E21" s="12"/>
      <c r="F21" s="12"/>
      <c r="G21" s="12"/>
      <c r="H21" s="12"/>
      <c r="I21" s="19"/>
      <c r="J21" s="92"/>
      <c r="K21" s="91"/>
      <c r="L21" s="92"/>
      <c r="M21" s="90"/>
      <c r="N21" s="102"/>
      <c r="O21" s="10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</row>
    <row r="22" spans="1:113" x14ac:dyDescent="0.2">
      <c r="A22" s="12"/>
      <c r="B22" s="12"/>
      <c r="C22" s="12"/>
      <c r="D22" s="12"/>
      <c r="E22" s="12"/>
      <c r="F22" s="12"/>
      <c r="G22" s="12"/>
      <c r="H22" s="12"/>
      <c r="I22" s="19"/>
      <c r="J22" s="92"/>
      <c r="K22" s="91"/>
      <c r="L22" s="92"/>
      <c r="M22" s="92"/>
      <c r="N22" s="92"/>
      <c r="O22" s="9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</row>
    <row r="23" spans="1:113" x14ac:dyDescent="0.2">
      <c r="A23" s="12"/>
      <c r="B23" s="12"/>
      <c r="C23" s="12"/>
      <c r="D23" s="12"/>
      <c r="E23" s="12"/>
      <c r="F23" s="12"/>
      <c r="G23" s="12"/>
      <c r="H23" s="12"/>
      <c r="I23" s="19"/>
      <c r="J23" s="92"/>
      <c r="K23" s="91"/>
      <c r="L23" s="92"/>
      <c r="M23" s="92"/>
      <c r="N23" s="92"/>
      <c r="O23" s="92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</row>
    <row r="24" spans="1:113" x14ac:dyDescent="0.2">
      <c r="A24" s="12"/>
      <c r="B24" s="12"/>
      <c r="C24" s="12"/>
      <c r="D24" s="12"/>
      <c r="E24" s="12"/>
      <c r="F24" s="12"/>
      <c r="G24" s="12"/>
      <c r="H24" s="12"/>
      <c r="I24" s="19"/>
      <c r="J24" s="92"/>
      <c r="K24" s="91"/>
      <c r="L24" s="92"/>
      <c r="M24" s="92"/>
      <c r="N24" s="92"/>
      <c r="O24" s="92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</row>
    <row r="25" spans="1:113" x14ac:dyDescent="0.2">
      <c r="A25" s="12"/>
      <c r="B25" s="12"/>
      <c r="C25" s="12"/>
      <c r="D25" s="12"/>
      <c r="E25" s="12"/>
      <c r="F25" s="12"/>
      <c r="G25" s="12"/>
      <c r="H25" s="12"/>
      <c r="I25" s="19"/>
      <c r="J25" s="92"/>
      <c r="K25" s="91"/>
      <c r="L25" s="92"/>
      <c r="M25" s="92"/>
      <c r="N25" s="92"/>
      <c r="O25" s="92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</row>
    <row r="26" spans="1:113" x14ac:dyDescent="0.2">
      <c r="A26" s="12"/>
      <c r="B26" s="12"/>
      <c r="C26" s="12"/>
      <c r="D26" s="12"/>
      <c r="E26" s="12"/>
      <c r="F26" s="12"/>
      <c r="G26" s="12"/>
      <c r="H26" s="12"/>
      <c r="I26" s="19"/>
      <c r="J26" s="92"/>
      <c r="K26" s="91"/>
      <c r="L26" s="92"/>
      <c r="M26" s="92"/>
      <c r="N26" s="92"/>
      <c r="O26" s="92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</row>
    <row r="27" spans="1:113" x14ac:dyDescent="0.2">
      <c r="A27" s="12"/>
      <c r="B27" s="12"/>
      <c r="C27" s="12"/>
      <c r="D27" s="12"/>
      <c r="E27" s="12"/>
      <c r="F27" s="12"/>
      <c r="G27" s="12"/>
      <c r="H27" s="12"/>
      <c r="I27" s="19"/>
      <c r="J27" s="92"/>
      <c r="K27" s="91"/>
      <c r="L27" s="92"/>
      <c r="M27" s="92"/>
      <c r="N27" s="92"/>
      <c r="O27" s="9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</row>
    <row r="28" spans="1:113" x14ac:dyDescent="0.2">
      <c r="A28" s="12"/>
      <c r="B28" s="12"/>
      <c r="C28" s="12"/>
      <c r="D28" s="12"/>
      <c r="E28" s="12"/>
      <c r="F28" s="12"/>
      <c r="G28" s="12"/>
      <c r="H28" s="12"/>
      <c r="I28" s="19"/>
      <c r="J28" s="92"/>
      <c r="K28" s="91"/>
      <c r="L28" s="92"/>
      <c r="M28" s="92"/>
      <c r="N28" s="92"/>
      <c r="O28" s="92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</row>
    <row r="29" spans="1:113" x14ac:dyDescent="0.2">
      <c r="A29" s="12"/>
      <c r="B29" s="12"/>
      <c r="C29" s="12"/>
      <c r="D29" s="12"/>
      <c r="E29" s="12"/>
      <c r="F29" s="12"/>
      <c r="G29" s="12"/>
      <c r="H29" s="12"/>
      <c r="I29" s="19"/>
      <c r="J29" s="92"/>
      <c r="K29" s="91"/>
      <c r="L29" s="92"/>
      <c r="M29" s="92"/>
      <c r="N29" s="92"/>
      <c r="O29" s="92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</row>
    <row r="30" spans="1:113" x14ac:dyDescent="0.2">
      <c r="A30" s="12"/>
      <c r="B30" s="12"/>
      <c r="C30" s="12"/>
      <c r="D30" s="12"/>
      <c r="E30" s="12"/>
      <c r="F30" s="12"/>
      <c r="G30" s="12"/>
      <c r="H30" s="12"/>
      <c r="I30" s="19"/>
      <c r="J30" s="92"/>
      <c r="K30" s="91"/>
      <c r="L30" s="92"/>
      <c r="M30" s="92"/>
      <c r="N30" s="92"/>
      <c r="O30" s="9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</row>
    <row r="31" spans="1:113" x14ac:dyDescent="0.2">
      <c r="A31" s="12"/>
      <c r="B31" s="12"/>
      <c r="C31" s="12"/>
      <c r="D31" s="12"/>
      <c r="E31" s="12"/>
      <c r="F31" s="12"/>
      <c r="G31" s="12"/>
      <c r="H31" s="12"/>
      <c r="I31" s="19"/>
      <c r="J31" s="92"/>
      <c r="K31" s="91"/>
      <c r="L31" s="92"/>
      <c r="M31" s="92"/>
      <c r="N31" s="92"/>
      <c r="O31" s="92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</row>
    <row r="32" spans="1:113" x14ac:dyDescent="0.2">
      <c r="A32" s="12"/>
      <c r="B32" s="12"/>
      <c r="C32" s="12"/>
      <c r="D32" s="12"/>
      <c r="E32" s="12"/>
      <c r="F32" s="12"/>
      <c r="G32" s="12"/>
      <c r="H32" s="12"/>
      <c r="I32" s="19"/>
      <c r="J32" s="92"/>
      <c r="K32" s="91"/>
      <c r="L32" s="92"/>
      <c r="M32" s="92"/>
      <c r="N32" s="92"/>
      <c r="O32" s="92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</row>
    <row r="33" spans="1:113" x14ac:dyDescent="0.2">
      <c r="A33" s="12"/>
      <c r="B33" s="12"/>
      <c r="C33" s="12"/>
      <c r="D33" s="12"/>
      <c r="E33" s="12"/>
      <c r="F33" s="12"/>
      <c r="G33" s="12"/>
      <c r="H33" s="12"/>
      <c r="I33" s="19"/>
      <c r="J33" s="92"/>
      <c r="K33" s="91"/>
      <c r="L33" s="92"/>
      <c r="M33" s="92"/>
      <c r="N33" s="92"/>
      <c r="O33" s="92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</row>
    <row r="34" spans="1:113" x14ac:dyDescent="0.2">
      <c r="A34" s="12"/>
      <c r="B34" s="12"/>
      <c r="C34" s="12"/>
      <c r="D34" s="12"/>
      <c r="E34" s="12"/>
      <c r="F34" s="12"/>
      <c r="G34" s="12"/>
      <c r="H34" s="12"/>
      <c r="I34" s="19"/>
      <c r="J34" s="92"/>
      <c r="K34" s="91"/>
      <c r="L34" s="92"/>
      <c r="M34" s="92"/>
      <c r="N34" s="92"/>
      <c r="O34" s="92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</row>
    <row r="35" spans="1:113" x14ac:dyDescent="0.2">
      <c r="A35" s="12"/>
      <c r="B35" s="12"/>
      <c r="C35" s="12"/>
      <c r="D35" s="12"/>
      <c r="E35" s="12"/>
      <c r="F35" s="12"/>
      <c r="G35" s="12"/>
      <c r="H35" s="12"/>
      <c r="I35" s="19"/>
      <c r="J35" s="92"/>
      <c r="K35" s="91"/>
      <c r="L35" s="92"/>
      <c r="M35" s="92"/>
      <c r="N35" s="92"/>
      <c r="O35" s="92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</row>
    <row r="36" spans="1:113" x14ac:dyDescent="0.2">
      <c r="A36" s="12"/>
      <c r="B36" s="12"/>
      <c r="C36" s="12"/>
      <c r="D36" s="12"/>
      <c r="E36" s="12"/>
      <c r="F36" s="12"/>
      <c r="G36" s="12"/>
      <c r="H36" s="12"/>
      <c r="I36" s="19"/>
      <c r="J36" s="19"/>
      <c r="K36" s="21"/>
      <c r="L36" s="19"/>
      <c r="M36" s="19"/>
      <c r="N36" s="19"/>
      <c r="O36" s="19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</row>
    <row r="37" spans="1:113" x14ac:dyDescent="0.2">
      <c r="A37" s="12"/>
      <c r="B37" s="12"/>
      <c r="C37" s="12"/>
      <c r="D37" s="12"/>
      <c r="E37" s="12"/>
      <c r="F37" s="12"/>
      <c r="G37" s="12"/>
      <c r="H37" s="12"/>
      <c r="I37" s="19"/>
      <c r="J37" s="19"/>
      <c r="K37" s="21"/>
      <c r="L37" s="19"/>
      <c r="M37" s="19"/>
      <c r="N37" s="19"/>
      <c r="O37" s="19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</row>
    <row r="38" spans="1:113" x14ac:dyDescent="0.2">
      <c r="A38" s="12"/>
      <c r="B38" s="12"/>
      <c r="C38" s="12"/>
      <c r="D38" s="12"/>
      <c r="E38" s="12"/>
      <c r="F38" s="12"/>
      <c r="G38" s="12"/>
      <c r="H38" s="12"/>
      <c r="I38" s="19"/>
      <c r="J38" s="19"/>
      <c r="K38" s="21"/>
      <c r="L38" s="19"/>
      <c r="M38" s="19"/>
      <c r="N38" s="19"/>
      <c r="O38" s="19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</row>
    <row r="39" spans="1:113" x14ac:dyDescent="0.2">
      <c r="A39" s="12"/>
      <c r="B39" s="12"/>
      <c r="C39" s="12"/>
      <c r="D39" s="12"/>
      <c r="E39" s="12"/>
      <c r="F39" s="12"/>
      <c r="G39" s="12"/>
      <c r="H39" s="12"/>
      <c r="I39" s="19"/>
      <c r="J39" s="19"/>
      <c r="K39" s="21"/>
      <c r="L39" s="19"/>
      <c r="M39" s="19"/>
      <c r="N39" s="19"/>
      <c r="O39" s="19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</row>
    <row r="40" spans="1:113" x14ac:dyDescent="0.2">
      <c r="A40" s="12"/>
      <c r="B40" s="12"/>
      <c r="C40" s="12"/>
      <c r="D40" s="12"/>
      <c r="E40" s="12"/>
      <c r="F40" s="12"/>
      <c r="G40" s="12"/>
      <c r="H40" s="12"/>
      <c r="I40" s="19"/>
      <c r="J40" s="19"/>
      <c r="K40" s="21"/>
      <c r="L40" s="19"/>
      <c r="M40" s="19"/>
      <c r="N40" s="19"/>
      <c r="O40" s="19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</row>
    <row r="41" spans="1:113" x14ac:dyDescent="0.2">
      <c r="A41" s="12"/>
      <c r="B41" s="12"/>
      <c r="C41" s="12"/>
      <c r="D41" s="12"/>
      <c r="E41" s="12"/>
      <c r="F41" s="12"/>
      <c r="G41" s="12"/>
      <c r="H41" s="12"/>
      <c r="I41" s="19"/>
      <c r="J41" s="19"/>
      <c r="K41" s="21"/>
      <c r="L41" s="19"/>
      <c r="M41" s="19"/>
      <c r="N41" s="19"/>
      <c r="O41" s="19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</row>
    <row r="42" spans="1:113" x14ac:dyDescent="0.2">
      <c r="A42" s="12"/>
      <c r="B42" s="12"/>
      <c r="C42" s="12"/>
      <c r="D42" s="12"/>
      <c r="E42" s="12"/>
      <c r="F42" s="12"/>
      <c r="G42" s="12"/>
      <c r="H42" s="12"/>
      <c r="I42" s="19"/>
      <c r="J42" s="19"/>
      <c r="K42" s="21"/>
      <c r="L42" s="19"/>
      <c r="M42" s="19"/>
      <c r="N42" s="19"/>
      <c r="O42" s="19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</row>
    <row r="43" spans="1:113" x14ac:dyDescent="0.2">
      <c r="A43" s="12"/>
      <c r="B43" s="12"/>
      <c r="C43" s="12"/>
      <c r="D43" s="12"/>
      <c r="E43" s="12"/>
      <c r="F43" s="12"/>
      <c r="G43" s="12"/>
      <c r="H43" s="12"/>
      <c r="I43" s="19"/>
      <c r="J43" s="19"/>
      <c r="K43" s="21"/>
      <c r="L43" s="19"/>
      <c r="M43" s="19"/>
      <c r="N43" s="19"/>
      <c r="O43" s="19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</row>
    <row r="44" spans="1:113" x14ac:dyDescent="0.2">
      <c r="A44" s="12"/>
      <c r="B44" s="12"/>
      <c r="C44" s="12"/>
      <c r="D44" s="12"/>
      <c r="E44" s="12"/>
      <c r="F44" s="12"/>
      <c r="G44" s="12"/>
      <c r="H44" s="12"/>
      <c r="I44" s="19"/>
      <c r="J44" s="19"/>
      <c r="K44" s="21"/>
      <c r="L44" s="19"/>
      <c r="M44" s="19"/>
      <c r="N44" s="19"/>
      <c r="O44" s="19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</row>
    <row r="45" spans="1:113" x14ac:dyDescent="0.2">
      <c r="A45" s="12"/>
      <c r="B45" s="12"/>
      <c r="C45" s="12"/>
      <c r="D45" s="12"/>
      <c r="E45" s="12"/>
      <c r="F45" s="12"/>
      <c r="G45" s="12"/>
      <c r="H45" s="12"/>
      <c r="I45" s="19"/>
      <c r="J45" s="19"/>
      <c r="K45" s="21"/>
      <c r="L45" s="19"/>
      <c r="M45" s="19"/>
      <c r="N45" s="19"/>
      <c r="O45" s="19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</row>
    <row r="46" spans="1:113" x14ac:dyDescent="0.2">
      <c r="A46" s="12"/>
      <c r="B46" s="12"/>
      <c r="C46" s="12"/>
      <c r="D46" s="12"/>
      <c r="E46" s="12"/>
      <c r="F46" s="12"/>
      <c r="G46" s="12"/>
      <c r="H46" s="12"/>
      <c r="I46" s="19"/>
      <c r="J46" s="19"/>
      <c r="K46" s="21"/>
      <c r="L46" s="19"/>
      <c r="M46" s="19"/>
      <c r="N46" s="19"/>
      <c r="O46" s="19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</row>
    <row r="47" spans="1:113" x14ac:dyDescent="0.2">
      <c r="A47" s="12"/>
      <c r="B47" s="12"/>
      <c r="C47" s="12"/>
      <c r="D47" s="12"/>
      <c r="E47" s="12"/>
      <c r="F47" s="12"/>
      <c r="G47" s="12"/>
      <c r="H47" s="12"/>
      <c r="I47" s="19"/>
      <c r="J47" s="19"/>
      <c r="K47" s="2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113" x14ac:dyDescent="0.2">
      <c r="A48" s="12"/>
      <c r="B48" s="12"/>
      <c r="C48" s="12"/>
      <c r="D48" s="12"/>
      <c r="E48" s="12"/>
      <c r="F48" s="12"/>
      <c r="G48" s="12"/>
      <c r="H48" s="12"/>
      <c r="I48" s="19"/>
      <c r="J48" s="19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x14ac:dyDescent="0.2">
      <c r="A49" s="12"/>
      <c r="B49" s="12"/>
      <c r="C49" s="12"/>
      <c r="D49" s="12"/>
      <c r="E49" s="12"/>
      <c r="F49" s="12"/>
      <c r="G49" s="12"/>
      <c r="H49" s="12"/>
      <c r="I49" s="19"/>
      <c r="J49" s="19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x14ac:dyDescent="0.2">
      <c r="A50" s="12"/>
      <c r="B50" s="12"/>
      <c r="C50" s="12"/>
      <c r="D50" s="12"/>
      <c r="E50" s="12"/>
      <c r="F50" s="12"/>
      <c r="G50" s="12"/>
      <c r="H50" s="12"/>
      <c r="I50" s="19"/>
      <c r="J50" s="19"/>
      <c r="K50" s="21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x14ac:dyDescent="0.2">
      <c r="A51" s="12"/>
      <c r="B51" s="12"/>
      <c r="C51" s="12"/>
      <c r="D51" s="12"/>
      <c r="E51" s="12"/>
      <c r="F51" s="12"/>
      <c r="G51" s="12"/>
      <c r="H51" s="12"/>
      <c r="I51" s="19"/>
      <c r="J51" s="19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x14ac:dyDescent="0.2">
      <c r="A52" s="12"/>
      <c r="B52" s="12"/>
      <c r="C52" s="12"/>
      <c r="D52" s="12"/>
      <c r="E52" s="12"/>
      <c r="F52" s="12"/>
      <c r="G52" s="12"/>
      <c r="H52" s="12"/>
      <c r="I52" s="19"/>
      <c r="J52" s="19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x14ac:dyDescent="0.2">
      <c r="A53" s="12"/>
      <c r="B53" s="12"/>
      <c r="C53" s="12"/>
      <c r="D53" s="12"/>
      <c r="E53" s="12"/>
      <c r="F53" s="12"/>
      <c r="G53" s="12"/>
      <c r="H53" s="12"/>
      <c r="I53" s="19"/>
      <c r="J53" s="19"/>
      <c r="K53" s="21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x14ac:dyDescent="0.2">
      <c r="A54" s="12"/>
      <c r="B54" s="12"/>
      <c r="C54" s="12"/>
      <c r="D54" s="12"/>
      <c r="E54" s="12"/>
      <c r="F54" s="12"/>
      <c r="G54" s="12"/>
      <c r="H54" s="12"/>
      <c r="I54" s="19"/>
      <c r="J54" s="19"/>
      <c r="K54" s="21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x14ac:dyDescent="0.2">
      <c r="A55" s="12"/>
      <c r="B55" s="12"/>
      <c r="C55" s="12"/>
      <c r="D55" s="12"/>
      <c r="E55" s="12"/>
      <c r="F55" s="12"/>
      <c r="G55" s="12"/>
      <c r="H55" s="12"/>
      <c r="I55" s="19"/>
      <c r="J55" s="19"/>
      <c r="K55" s="21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x14ac:dyDescent="0.2">
      <c r="A56" s="12"/>
      <c r="B56" s="12"/>
      <c r="C56" s="12"/>
      <c r="D56" s="12"/>
      <c r="E56" s="12"/>
      <c r="F56" s="12"/>
      <c r="G56" s="12"/>
      <c r="H56" s="12"/>
      <c r="I56" s="19"/>
      <c r="J56" s="19"/>
      <c r="K56" s="21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x14ac:dyDescent="0.2">
      <c r="A57" s="12"/>
      <c r="B57" s="12"/>
      <c r="C57" s="12"/>
      <c r="D57" s="12"/>
      <c r="E57" s="12"/>
      <c r="F57" s="12"/>
      <c r="G57" s="12"/>
      <c r="H57" s="12"/>
      <c r="I57" s="19"/>
      <c r="J57" s="19"/>
      <c r="K57" s="21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86" x14ac:dyDescent="0.2">
      <c r="A58" s="12"/>
      <c r="B58" s="12"/>
      <c r="C58" s="12"/>
      <c r="D58" s="12"/>
      <c r="E58" s="12"/>
      <c r="F58" s="12"/>
      <c r="G58" s="12"/>
      <c r="H58" s="12"/>
      <c r="I58" s="19"/>
      <c r="J58" s="19"/>
      <c r="K58" s="21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x14ac:dyDescent="0.2">
      <c r="A59" s="12"/>
      <c r="B59" s="12"/>
      <c r="C59" s="12"/>
      <c r="D59" s="12"/>
      <c r="E59" s="12"/>
      <c r="F59" s="12"/>
      <c r="G59" s="12"/>
      <c r="H59" s="12"/>
      <c r="I59" s="19"/>
      <c r="J59" s="19"/>
      <c r="K59" s="21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x14ac:dyDescent="0.2">
      <c r="A60" s="12"/>
      <c r="B60" s="12"/>
      <c r="C60" s="12"/>
      <c r="D60" s="12"/>
      <c r="E60" s="12"/>
      <c r="F60" s="12"/>
      <c r="G60" s="12"/>
      <c r="H60" s="12"/>
      <c r="I60" s="19"/>
      <c r="J60" s="19"/>
      <c r="K60" s="21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x14ac:dyDescent="0.2">
      <c r="A61" s="12"/>
      <c r="B61" s="12"/>
      <c r="C61" s="12"/>
      <c r="D61" s="12"/>
      <c r="E61" s="12"/>
      <c r="F61" s="12"/>
      <c r="G61" s="12"/>
      <c r="H61" s="12"/>
      <c r="I61" s="19"/>
      <c r="J61" s="19"/>
      <c r="K61" s="21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</row>
    <row r="69" spans="1:86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</sheetData>
  <sheetProtection algorithmName="SHA-512" hashValue="+7kOX8mVKxT9yeLDvJWOvN19OwH5mT6A8zdZ6i/swe4qaDZz6i0GAq/U2pI7biWgZLa+6FDRTirKk1I9OcDj8Q==" saltValue="57raE3nbztmoGPPyHlZmDg==" spinCount="100000" sheet="1" selectLockedCells="1"/>
  <mergeCells count="12">
    <mergeCell ref="B2:B3"/>
    <mergeCell ref="C4:F4"/>
    <mergeCell ref="C2:H2"/>
    <mergeCell ref="C5:F5"/>
    <mergeCell ref="C8:F8"/>
    <mergeCell ref="D6:H6"/>
    <mergeCell ref="D15:F15"/>
    <mergeCell ref="D17:F17"/>
    <mergeCell ref="D12:F12"/>
    <mergeCell ref="D10:F10"/>
    <mergeCell ref="D14:F14"/>
    <mergeCell ref="D13:H13"/>
  </mergeCells>
  <phoneticPr fontId="2" type="noConversion"/>
  <conditionalFormatting sqref="D13:H13">
    <cfRule type="cellIs" dxfId="3" priority="6" stopIfTrue="1" operator="equal">
      <formula>FALSE</formula>
    </cfRule>
  </conditionalFormatting>
  <conditionalFormatting sqref="H5 D6:H6 H17">
    <cfRule type="cellIs" dxfId="2" priority="3" stopIfTrue="1" operator="equal">
      <formula>FALSE</formula>
    </cfRule>
  </conditionalFormatting>
  <conditionalFormatting sqref="H12">
    <cfRule type="cellIs" dxfId="1" priority="4" stopIfTrue="1" operator="equal">
      <formula>FALSE</formula>
    </cfRule>
    <cfRule type="expression" dxfId="0" priority="5" stopIfTrue="1">
      <formula>"F8=0"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Ativos</vt:lpstr>
      <vt:lpstr>Aposentados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2003</dc:creator>
  <cp:lastModifiedBy>Eduardo</cp:lastModifiedBy>
  <dcterms:created xsi:type="dcterms:W3CDTF">2020-02-21T16:28:41Z</dcterms:created>
  <dcterms:modified xsi:type="dcterms:W3CDTF">2023-05-04T13:25:35Z</dcterms:modified>
</cp:coreProperties>
</file>